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7185" tabRatio="854"/>
  </bookViews>
  <sheets>
    <sheet name="0 Intro" sheetId="1" r:id="rId1"/>
    <sheet name="1 Biogas evaluation" sheetId="14" r:id="rId2"/>
    <sheet name="2 Feedstock database" sheetId="4" r:id="rId3"/>
    <sheet name="3 References" sheetId="16"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3" i="14" l="1"/>
  <c r="D23" i="4" l="1"/>
  <c r="D15" i="4"/>
  <c r="J19" i="14" l="1"/>
  <c r="N21" i="4" l="1"/>
  <c r="D21" i="4" s="1"/>
  <c r="M21" i="4"/>
  <c r="C21" i="4"/>
  <c r="H21" i="4"/>
  <c r="J21" i="4" s="1"/>
  <c r="L22" i="4"/>
  <c r="M22" i="4"/>
  <c r="G22" i="4"/>
  <c r="H22" i="4" s="1"/>
  <c r="L21" i="4" l="1"/>
  <c r="N22" i="4"/>
  <c r="D22" i="4" s="1"/>
  <c r="I21" i="4"/>
  <c r="K21" i="4" s="1"/>
  <c r="N26" i="4"/>
  <c r="D26" i="4" s="1"/>
  <c r="L29" i="4"/>
  <c r="L28" i="4"/>
  <c r="L27" i="4"/>
  <c r="H26" i="4"/>
  <c r="J26" i="4" s="1"/>
  <c r="L25" i="4"/>
  <c r="H25" i="4"/>
  <c r="M25" i="4" s="1"/>
  <c r="L24" i="4"/>
  <c r="H24" i="4"/>
  <c r="M24" i="4" s="1"/>
  <c r="L20" i="4"/>
  <c r="H20" i="4"/>
  <c r="M20" i="4" s="1"/>
  <c r="L19" i="4"/>
  <c r="H19" i="4"/>
  <c r="M19" i="4" s="1"/>
  <c r="H18" i="4"/>
  <c r="M18" i="4" s="1"/>
  <c r="L18" i="4"/>
  <c r="L17" i="4"/>
  <c r="H17" i="4"/>
  <c r="M17" i="4" s="1"/>
  <c r="J17" i="4" l="1"/>
  <c r="J20" i="4"/>
  <c r="J24" i="4"/>
  <c r="J19" i="4"/>
  <c r="J18" i="4"/>
  <c r="J25" i="4"/>
  <c r="C17" i="4"/>
  <c r="C18" i="4"/>
  <c r="C19" i="4"/>
  <c r="C20" i="4"/>
  <c r="C22" i="4"/>
  <c r="C23" i="4"/>
  <c r="C24" i="4"/>
  <c r="C25" i="4"/>
  <c r="C26" i="4"/>
  <c r="C27" i="4"/>
  <c r="C28" i="4"/>
  <c r="C29" i="4"/>
  <c r="C16" i="4"/>
  <c r="N25" i="4" l="1"/>
  <c r="D25" i="4" s="1"/>
  <c r="N24" i="4"/>
  <c r="D24" i="4" s="1"/>
  <c r="N20" i="4"/>
  <c r="D20" i="4" s="1"/>
  <c r="N19" i="4"/>
  <c r="D19" i="4" s="1"/>
  <c r="N18" i="4"/>
  <c r="D18" i="4" s="1"/>
  <c r="N17" i="4"/>
  <c r="D17" i="4" s="1"/>
  <c r="K28" i="4" l="1"/>
  <c r="D101" i="14" l="1"/>
  <c r="K25" i="14" l="1"/>
  <c r="U25" i="14" s="1"/>
  <c r="E25" i="14"/>
  <c r="L25" i="14"/>
  <c r="M25" i="14"/>
  <c r="O25" i="14"/>
  <c r="Q25" i="14"/>
  <c r="D25" i="14"/>
  <c r="R25" i="14"/>
  <c r="S25" i="14"/>
  <c r="J25" i="14"/>
  <c r="T25" i="14" s="1"/>
  <c r="K26" i="14"/>
  <c r="U26" i="14" s="1"/>
  <c r="L26" i="14"/>
  <c r="M26" i="14"/>
  <c r="D26" i="14"/>
  <c r="O26" i="14"/>
  <c r="Q26" i="14"/>
  <c r="R26" i="14"/>
  <c r="S26" i="14"/>
  <c r="E26" i="14"/>
  <c r="J26" i="14"/>
  <c r="T26" i="14" s="1"/>
  <c r="O21" i="14"/>
  <c r="Q21" i="14"/>
  <c r="L21" i="14"/>
  <c r="D21" i="14"/>
  <c r="J21" i="14"/>
  <c r="T21" i="14" s="1"/>
  <c r="J27" i="14"/>
  <c r="T27" i="14" s="1"/>
  <c r="K27" i="14"/>
  <c r="L27" i="14"/>
  <c r="S27" i="14"/>
  <c r="M27" i="14"/>
  <c r="O27" i="14"/>
  <c r="D27" i="14"/>
  <c r="Q27" i="14"/>
  <c r="R27" i="14"/>
  <c r="E27" i="14"/>
  <c r="O19" i="14"/>
  <c r="Q19" i="14"/>
  <c r="T19" i="14"/>
  <c r="D19" i="14"/>
  <c r="L19" i="14"/>
  <c r="M22" i="14"/>
  <c r="O22" i="14"/>
  <c r="Q22" i="14"/>
  <c r="R22" i="14"/>
  <c r="E22" i="14"/>
  <c r="J22" i="14"/>
  <c r="T22" i="14" s="1"/>
  <c r="S22" i="14"/>
  <c r="K22" i="14"/>
  <c r="U22" i="14" s="1"/>
  <c r="L22" i="14"/>
  <c r="D22" i="14"/>
  <c r="L24" i="14"/>
  <c r="D24" i="14"/>
  <c r="E24" i="14"/>
  <c r="K24" i="14"/>
  <c r="U24" i="14" s="1"/>
  <c r="M24" i="14"/>
  <c r="O24" i="14"/>
  <c r="J24" i="14"/>
  <c r="T24" i="14" s="1"/>
  <c r="Q24" i="14"/>
  <c r="R24" i="14"/>
  <c r="S24" i="14"/>
  <c r="O17" i="14"/>
  <c r="M17" i="14"/>
  <c r="Q17" i="14"/>
  <c r="L17" i="14"/>
  <c r="S17" i="14"/>
  <c r="K17" i="14"/>
  <c r="U17" i="14" s="1"/>
  <c r="R17" i="14"/>
  <c r="J17" i="14"/>
  <c r="T17" i="14" s="1"/>
  <c r="E17" i="14"/>
  <c r="L23" i="14"/>
  <c r="M23" i="14"/>
  <c r="O23" i="14"/>
  <c r="D23" i="14"/>
  <c r="E23" i="14"/>
  <c r="K23" i="14"/>
  <c r="Q23" i="14"/>
  <c r="R23" i="14"/>
  <c r="S23" i="14"/>
  <c r="J23" i="14"/>
  <c r="T23" i="14" s="1"/>
  <c r="O20" i="14"/>
  <c r="Q20" i="14"/>
  <c r="R20" i="14"/>
  <c r="S20" i="14"/>
  <c r="J20" i="14"/>
  <c r="T20" i="14" s="1"/>
  <c r="L20" i="14"/>
  <c r="K20" i="14"/>
  <c r="D20" i="14"/>
  <c r="E20" i="14"/>
  <c r="M20" i="14"/>
  <c r="Q18" i="14"/>
  <c r="R18" i="14"/>
  <c r="O18" i="14"/>
  <c r="S18" i="14"/>
  <c r="L18" i="14"/>
  <c r="D18" i="14"/>
  <c r="E18" i="14"/>
  <c r="M18" i="14"/>
  <c r="J18" i="14"/>
  <c r="T18" i="14" s="1"/>
  <c r="K18" i="14"/>
  <c r="C76" i="14"/>
  <c r="D17" i="14"/>
  <c r="C61" i="14" l="1"/>
  <c r="C54" i="14"/>
  <c r="D54" i="14"/>
  <c r="N26" i="14"/>
  <c r="P26" i="14" s="1"/>
  <c r="N23" i="14"/>
  <c r="P23" i="14" s="1"/>
  <c r="N24" i="14"/>
  <c r="P24" i="14" s="1"/>
  <c r="N22" i="14"/>
  <c r="P22" i="14" s="1"/>
  <c r="N18" i="14"/>
  <c r="P18" i="14" s="1"/>
  <c r="N27" i="14"/>
  <c r="P27" i="14" s="1"/>
  <c r="V24" i="14"/>
  <c r="W24" i="14"/>
  <c r="N20" i="14"/>
  <c r="P20" i="14" s="1"/>
  <c r="U20" i="14"/>
  <c r="U18" i="14"/>
  <c r="U23" i="14"/>
  <c r="V22" i="14"/>
  <c r="W22" i="14"/>
  <c r="U27" i="14"/>
  <c r="V26" i="14"/>
  <c r="W26" i="14"/>
  <c r="W25" i="14"/>
  <c r="V25" i="14"/>
  <c r="N25" i="14"/>
  <c r="P25" i="14" s="1"/>
  <c r="W17" i="14"/>
  <c r="V17" i="14"/>
  <c r="C64" i="14"/>
  <c r="D64" i="14"/>
  <c r="D76" i="14"/>
  <c r="C34" i="14" s="1"/>
  <c r="N17" i="14"/>
  <c r="H27" i="4"/>
  <c r="H29" i="4"/>
  <c r="H28" i="4"/>
  <c r="M27" i="4" l="1"/>
  <c r="J27" i="4"/>
  <c r="M29" i="4"/>
  <c r="N29" i="4" s="1"/>
  <c r="D29" i="4" s="1"/>
  <c r="J29" i="4"/>
  <c r="J28" i="4"/>
  <c r="M28" i="4"/>
  <c r="K21" i="14"/>
  <c r="K19" i="14"/>
  <c r="V23" i="14"/>
  <c r="W23" i="14"/>
  <c r="V18" i="14"/>
  <c r="W18" i="14"/>
  <c r="V20" i="14"/>
  <c r="W20" i="14"/>
  <c r="W27" i="14"/>
  <c r="V27" i="14"/>
  <c r="P17" i="14"/>
  <c r="N28" i="4" l="1"/>
  <c r="D28" i="4" s="1"/>
  <c r="R21" i="14"/>
  <c r="M21" i="14"/>
  <c r="M19" i="14"/>
  <c r="N27" i="4"/>
  <c r="D27" i="4" s="1"/>
  <c r="R19" i="14"/>
  <c r="U21" i="14"/>
  <c r="N21" i="14"/>
  <c r="P21" i="14" s="1"/>
  <c r="E21" i="14"/>
  <c r="E19" i="14"/>
  <c r="N19" i="14"/>
  <c r="P19" i="14" s="1"/>
  <c r="U19" i="14"/>
  <c r="S19" i="14" l="1"/>
  <c r="S21" i="14"/>
  <c r="V21" i="14"/>
  <c r="W21" i="14"/>
  <c r="W19" i="14"/>
  <c r="V19" i="14"/>
  <c r="E76" i="14"/>
  <c r="C32" i="14" s="1"/>
  <c r="J76" i="14"/>
  <c r="C57" i="14" s="1"/>
  <c r="I76" i="14"/>
  <c r="F76" i="14" l="1"/>
  <c r="K76" i="14"/>
  <c r="C37" i="14" s="1"/>
  <c r="C41" i="14" l="1"/>
  <c r="C58" i="14"/>
  <c r="G57" i="14"/>
  <c r="G58" i="14" s="1"/>
</calcChain>
</file>

<file path=xl/sharedStrings.xml><?xml version="1.0" encoding="utf-8"?>
<sst xmlns="http://schemas.openxmlformats.org/spreadsheetml/2006/main" count="253" uniqueCount="197">
  <si>
    <t>Type of feedstock</t>
  </si>
  <si>
    <t>Key parameters</t>
  </si>
  <si>
    <t>Water content</t>
  </si>
  <si>
    <t>C/N ratio</t>
  </si>
  <si>
    <t>Feedstock mix</t>
  </si>
  <si>
    <t>Manpower</t>
  </si>
  <si>
    <t>Water</t>
  </si>
  <si>
    <t>Moisture content</t>
  </si>
  <si>
    <t>Total solids</t>
  </si>
  <si>
    <t>Volatile solids</t>
  </si>
  <si>
    <t>Ash</t>
  </si>
  <si>
    <t>MC (-)</t>
  </si>
  <si>
    <t>TS (-)</t>
  </si>
  <si>
    <t>VS of TS (-)</t>
  </si>
  <si>
    <t>Ash (-)</t>
  </si>
  <si>
    <t>m3 CH4/kg VS</t>
  </si>
  <si>
    <t>Cow manure</t>
  </si>
  <si>
    <t>Pig manure</t>
  </si>
  <si>
    <t>Chicken manure</t>
  </si>
  <si>
    <t>Human urine</t>
  </si>
  <si>
    <t>Flush water</t>
  </si>
  <si>
    <t>Source</t>
  </si>
  <si>
    <t>Fresh sawdust</t>
  </si>
  <si>
    <t>Wheat straw</t>
  </si>
  <si>
    <t>VS loading</t>
  </si>
  <si>
    <t>kgVS/d</t>
  </si>
  <si>
    <t>Daily methane yield</t>
  </si>
  <si>
    <t>m3 CH4/d</t>
  </si>
  <si>
    <t>Moisture</t>
  </si>
  <si>
    <t>Carbon content</t>
  </si>
  <si>
    <t>Nitrogen content</t>
  </si>
  <si>
    <t>Key properties</t>
  </si>
  <si>
    <t>Lower value</t>
  </si>
  <si>
    <t>Higher value</t>
  </si>
  <si>
    <t>Energy needs [kWh/(ton/day)]</t>
  </si>
  <si>
    <t>Water content [kg H20]</t>
  </si>
  <si>
    <t>TS content [kg]</t>
  </si>
  <si>
    <t>C content [kg]</t>
  </si>
  <si>
    <t>N content [kg]</t>
  </si>
  <si>
    <t>Minimum</t>
  </si>
  <si>
    <t>Maximum</t>
  </si>
  <si>
    <t>Manpower requirement 1st ton of waste</t>
  </si>
  <si>
    <t>Manpower required per additionnal ton of waste</t>
  </si>
  <si>
    <t>C % (d.b.)</t>
  </si>
  <si>
    <t>N % (d.b.)</t>
  </si>
  <si>
    <t>Total solids (TS)</t>
  </si>
  <si>
    <t>MC [%] (w.b.)</t>
  </si>
  <si>
    <t>TS [%] (w.b.)</t>
  </si>
  <si>
    <t>VS of TS [%] (d.b.)</t>
  </si>
  <si>
    <t>Ash [%] (d.b.)</t>
  </si>
  <si>
    <t>Inputs</t>
  </si>
  <si>
    <t>AD parameters</t>
  </si>
  <si>
    <t>Design</t>
  </si>
  <si>
    <t>Water [L/day]</t>
  </si>
  <si>
    <t>Amount added in your feedstock</t>
  </si>
  <si>
    <t>pH</t>
  </si>
  <si>
    <t>Ambient temperature [°C]</t>
  </si>
  <si>
    <t>Mass [kg/day]</t>
  </si>
  <si>
    <t>Hours of cooking on a household burner per day [h/day]</t>
  </si>
  <si>
    <t>Feedstock database</t>
  </si>
  <si>
    <t>Optimal C/N ratio</t>
  </si>
  <si>
    <t>Acceptable C/N ratio</t>
  </si>
  <si>
    <t>Biogas density [kg/m3]</t>
  </si>
  <si>
    <t>Version 1.0</t>
  </si>
  <si>
    <t>Suitability for BSF</t>
  </si>
  <si>
    <t>Suitable</t>
  </si>
  <si>
    <t>Not suitable</t>
  </si>
  <si>
    <t>Suitable if mixed</t>
  </si>
  <si>
    <t>[1]</t>
  </si>
  <si>
    <t>[5]</t>
  </si>
  <si>
    <t>[2]</t>
  </si>
  <si>
    <t>[3]</t>
  </si>
  <si>
    <t>[4]</t>
  </si>
  <si>
    <t>Peter Jacob Jørgensen, PlanEnergi and Researcher for a Day – Faculty of Agricultural Sciences, Aarhus University 2009 2nd edition</t>
  </si>
  <si>
    <t>[6]</t>
  </si>
  <si>
    <t xml:space="preserve">[1] </t>
  </si>
  <si>
    <t>[7]</t>
  </si>
  <si>
    <t>Only if too dry</t>
  </si>
  <si>
    <t>In research, not a no go</t>
  </si>
  <si>
    <t>[8]</t>
  </si>
  <si>
    <t>[9]</t>
  </si>
  <si>
    <t>Can be added for structure</t>
  </si>
  <si>
    <t>Comments on source</t>
  </si>
  <si>
    <t>[10]</t>
  </si>
  <si>
    <t>[11]</t>
  </si>
  <si>
    <t>Assumed as water but with pathogen content</t>
  </si>
  <si>
    <t>Rice straw</t>
  </si>
  <si>
    <t>Bagasse (sugarcane)</t>
  </si>
  <si>
    <t>Leaves (dry)</t>
  </si>
  <si>
    <t>Mixed grass (fresh)</t>
  </si>
  <si>
    <t>[12]</t>
  </si>
  <si>
    <t>Horisawa et al. (1999). Biodegradation of nonlignocellulosic substances II: physical and chemical properties of sawdust before and after use as artificial soil. Journal of Wood Science.</t>
  </si>
  <si>
    <t>Bajpai P. (2018). Biermann's Handbook of Pulp and Paper. Volume 1: Raw Material and Pulp Making. Third edition. Chapter 2 - Wood and Fiber Fundamentals.</t>
  </si>
  <si>
    <t>Suitable, care pathogens</t>
  </si>
  <si>
    <t>Human excreta</t>
  </si>
  <si>
    <t>You can find more feedstocks and data in the main source used for this database [10]</t>
  </si>
  <si>
    <t>BMP potential methane yield (VS)</t>
  </si>
  <si>
    <t>Moisture, VS, Ash, %N calculated from averageing: Lactating Cow and Heifer from [7]
C % calculated with 0.55 * VS of TS [8]
TS calculated as beeing 100%-moisture</t>
  </si>
  <si>
    <t>[7] &amp; [8]</t>
  </si>
  <si>
    <t>Moisture, VS, Ash, %N calculated from averageing: Swine - Gestating (190 kg.), Swine - Lactating (190 kg.), Boar (200 kg.), Piglets, Adolescents Pigs from [7]
C % calculated with 0.55 * VS of TS [8]
TS calculated as beeing 100%-moisture</t>
  </si>
  <si>
    <t>Moisture, VS, Ash, %N calculated from averageing: Poultry and Broiler chickens from [7]
C % calculated with 0.55 * VS of TS [8]
TS calculated as beeing 100%-moisture</t>
  </si>
  <si>
    <t>Moisture, VS, Ash, %N from [7]
C % calculated with 0.55 * VS of TS [8]
TS calculated as beeing 100%-moisture</t>
  </si>
  <si>
    <t>Moisture, VS, Ash, %N from [7]
C % calculated with 0.55 * VS of TS [8]
TS calculated as beeing 100%-moisture
Sugarcane Untreated (Bagasse) from [7] for methane yield</t>
  </si>
  <si>
    <t>VS, Ash, biomethane potential from "Wood" from [7]
Moisture &amp; TS from [9]
Carbon and Nitrogen from [10]</t>
  </si>
  <si>
    <t>[7], [9] &amp; [10]</t>
  </si>
  <si>
    <t>Moisture, C%, N% from [11]
TS calculated as beeing 100%-moisture
VS, Ash, methane yield assumed to be 0</t>
  </si>
  <si>
    <t>Moisture, VS, Ash, N% , C/N ratio averaged from "Night soil" from [12]: human faeces and urine = excreta
C% calculated from N% and C/N ratio
TS calculated as beeing 100%-moisture
Methane yield calculated based on [12] yield per unit weight of dry solids</t>
  </si>
  <si>
    <t>…</t>
  </si>
  <si>
    <t>Moisture content (wet base)</t>
  </si>
  <si>
    <t>Total solids (wet base)</t>
  </si>
  <si>
    <t>Volatile solids (dry base)</t>
  </si>
  <si>
    <t>Ash (dry base)</t>
  </si>
  <si>
    <t>1) Feedstock input</t>
  </si>
  <si>
    <t>Products</t>
  </si>
  <si>
    <t>Potential outputs</t>
  </si>
  <si>
    <t>For operation and maintenance of the system</t>
  </si>
  <si>
    <t>How to use the different sheets in this tool:</t>
  </si>
  <si>
    <t>Insert the type and quantities of feedstock available</t>
  </si>
  <si>
    <t>Depends on the type of technology available. Flexible bags / balloon digesters have the highest footprint.</t>
  </si>
  <si>
    <t>References (the numbers refer to the reference list in Sheet n°4)</t>
  </si>
  <si>
    <t>Household burners consumption [L/h]</t>
  </si>
  <si>
    <t>National Research Council (1977). Methane Generation From Human, Animal, and Agricultural Wastes. Washington, DC: The National Academies Press. https://doi.org/10.17226/21482.</t>
  </si>
  <si>
    <t>Adams, R. C., F. S. MacLean, J. K. Dixon, F. M. Bennett, G. I. Martin, and R. C. Lough. (1951). The utilization of organic wastes in N.Z.: Second interim report of the inter-departmental committee. New Zealand Engineering (November 15, 1951):396-424.</t>
  </si>
  <si>
    <t>2) Mixture suitability check</t>
  </si>
  <si>
    <t>hypothesis, optimal range from [1] is 16 - 25</t>
  </si>
  <si>
    <t>Biomethane potential (BMP) correction factor [%]</t>
  </si>
  <si>
    <t>Average feedstock density [kg/L]</t>
  </si>
  <si>
    <t>Hydraulic retention time (HRT) [days]</t>
  </si>
  <si>
    <t>hypothesis, accounting that the biogas produced will correspond to only a fraction of the BMP. Another estimation could be done using the reactor volume: biogas produced=0.55*Reactor_volume. In low dilution conditions (optimals to keep volume low) both methods result in comparable biogas production rates. We did our calculations based on a fraction of the BMP.</t>
  </si>
  <si>
    <t>hypothesis, [1] states optimal 25 - 30 °C, broader range possible</t>
  </si>
  <si>
    <t>Volatile Solids (VS) loading</t>
  </si>
  <si>
    <t>Carbon (dry base)</t>
  </si>
  <si>
    <t>Nitrogen (dry base)</t>
  </si>
  <si>
    <t>Carbon to Nitrogen ratio</t>
  </si>
  <si>
    <t>Operation and design parameters</t>
  </si>
  <si>
    <t>Biogas consumption parameter</t>
  </si>
  <si>
    <t>3) Results</t>
  </si>
  <si>
    <t>Total Solids</t>
  </si>
  <si>
    <t>Technology Evaluation Tool Biogas (TET-Biogas)</t>
  </si>
  <si>
    <t>Christian Zurbrügg, Dorian Tosi Robinson, Sara Ubbiali (Eawag / Department Sanitation, Water and Solid Waste for Development)</t>
  </si>
  <si>
    <t>Check that your feedstock mixture is suitable for anaerobic digestion and make the suggested changes until the validation box is green</t>
  </si>
  <si>
    <t>Validation box</t>
  </si>
  <si>
    <t>Can I use this technology with the current inputs?</t>
  </si>
  <si>
    <t>Consider the results only if the validation box above is GREEN</t>
  </si>
  <si>
    <t>3) References</t>
  </si>
  <si>
    <t>Resource link here</t>
  </si>
  <si>
    <t>[4] states from 0.5 to 0.6 - averaged here</t>
  </si>
  <si>
    <t>[1] &amp; This tool does not test pH suitability, beware that it is an important factor for AD to work properly. Very acidic or basic feedstocks can cause trouble.</t>
  </si>
  <si>
    <t>Space requirement [m2]</t>
  </si>
  <si>
    <t>Organic waste</t>
  </si>
  <si>
    <t>VS of TS (% d.b.)</t>
  </si>
  <si>
    <t>TS (% w.b.)</t>
  </si>
  <si>
    <t>MC (% w.b)</t>
  </si>
  <si>
    <t>Ash (% d.b.)</t>
  </si>
  <si>
    <t>Taken as equivalent to "mixed vegetable waste" from [7]
Moisture, VS, Ash, %N from [7]
C % calculated with 0.55 * VS of TS [8]
TS calculated as beeing 100%-moisture</t>
  </si>
  <si>
    <t xml:space="preserve">Number of households using a stove for 5 hours per day </t>
  </si>
  <si>
    <t>info@sandec.ch, christian.zurbruegg@eawag.ch, dorian.tosirobinson@eawag.ch, sara.ubbiali@eawag.ch</t>
  </si>
  <si>
    <r>
      <rPr>
        <sz val="11"/>
        <rFont val="Calibri"/>
        <family val="2"/>
        <scheme val="minor"/>
      </rPr>
      <t xml:space="preserve">Energypedia (30.04.2018). Website: </t>
    </r>
    <r>
      <rPr>
        <u/>
        <sz val="11"/>
        <color theme="10"/>
        <rFont val="Calibri"/>
        <family val="2"/>
        <scheme val="minor"/>
      </rPr>
      <t>https://energypedia.info/wiki/Biogas_Stoves</t>
    </r>
    <r>
      <rPr>
        <sz val="11"/>
        <rFont val="Calibri"/>
        <family val="2"/>
        <scheme val="minor"/>
      </rPr>
      <t>. Last visited on 12.05.2022.</t>
    </r>
  </si>
  <si>
    <t>Gotaas H.B. (1956). Composting: Sanitary Disposal and Reclamation of Organic Wastes. The World Health Organization monograph series.</t>
  </si>
  <si>
    <t>Zabaleta I. et al. (2020): Selecting Organic Waste Treatment Technologies. SOWATT. Eawag - Swiss Federal Institute of Aquatic Science and Technology: Dübendorf, Switzerland, p 235.</t>
  </si>
  <si>
    <r>
      <t xml:space="preserve">Roy D. et al. (2018): Composting leachate: characterization, treatment, and future perspectives. </t>
    </r>
    <r>
      <rPr>
        <i/>
        <sz val="11"/>
        <color theme="1"/>
        <rFont val="Calibri"/>
        <family val="2"/>
        <scheme val="minor"/>
      </rPr>
      <t>Reviews in Environmental Science and Bio/Technology</t>
    </r>
    <r>
      <rPr>
        <sz val="11"/>
        <color theme="1"/>
        <rFont val="Calibri"/>
        <family val="2"/>
        <scheme val="minor"/>
      </rPr>
      <t>, (17) 323-349.</t>
    </r>
  </si>
  <si>
    <r>
      <t xml:space="preserve">Khalid A. et al. (2011): The anaerobic digestion of solid organic waste. </t>
    </r>
    <r>
      <rPr>
        <i/>
        <sz val="11"/>
        <color theme="1"/>
        <rFont val="Calibri"/>
        <family val="2"/>
        <scheme val="minor"/>
      </rPr>
      <t>Waste Management</t>
    </r>
    <r>
      <rPr>
        <sz val="11"/>
        <color theme="1"/>
        <rFont val="Calibri"/>
        <family val="2"/>
        <scheme val="minor"/>
      </rPr>
      <t>, (31) 1737-1744.</t>
    </r>
  </si>
  <si>
    <r>
      <t xml:space="preserve">Kondusamy D.,Kalamdhad A.S. (2014): Pre-treatment and anaerobic digestion of food waste for high rate methane production – A review. </t>
    </r>
    <r>
      <rPr>
        <i/>
        <sz val="11"/>
        <color theme="1"/>
        <rFont val="Calibri"/>
        <family val="2"/>
        <scheme val="minor"/>
      </rPr>
      <t>Journal of Environmental Chemical Engineering</t>
    </r>
    <r>
      <rPr>
        <sz val="11"/>
        <color theme="1"/>
        <rFont val="Calibri"/>
        <family val="2"/>
        <scheme val="minor"/>
      </rPr>
      <t>, (2) 1821-1830.</t>
    </r>
  </si>
  <si>
    <t>US Environmental Protection Agency (2022). Anaerobic Digestion Screening Tool. Version 2.2.</t>
  </si>
  <si>
    <t>Anaerobic Digestion (AD) rapid assessment tool for biogas production potential</t>
  </si>
  <si>
    <t>Potential biogas production [m3/day]</t>
  </si>
  <si>
    <t>Digestate production [L/day]</t>
  </si>
  <si>
    <t>Active bioreactor volume [L]</t>
  </si>
  <si>
    <t>Excludes volume for gas storage</t>
  </si>
  <si>
    <r>
      <t>CH4-content in the biogas [m</t>
    </r>
    <r>
      <rPr>
        <vertAlign val="superscript"/>
        <sz val="11"/>
        <color theme="1"/>
        <rFont val="Calibri"/>
        <family val="2"/>
        <scheme val="minor"/>
      </rPr>
      <t xml:space="preserve">3 </t>
    </r>
    <r>
      <rPr>
        <sz val="11"/>
        <color theme="1"/>
        <rFont val="Calibri"/>
        <family val="2"/>
        <scheme val="minor"/>
      </rPr>
      <t>CH4/ m</t>
    </r>
    <r>
      <rPr>
        <vertAlign val="superscript"/>
        <sz val="11"/>
        <color theme="1"/>
        <rFont val="Calibri"/>
        <family val="2"/>
        <scheme val="minor"/>
      </rPr>
      <t>3</t>
    </r>
    <r>
      <rPr>
        <sz val="11"/>
        <color theme="1"/>
        <rFont val="Calibri"/>
        <family val="2"/>
        <scheme val="minor"/>
      </rPr>
      <t xml:space="preserve"> biogas]</t>
    </r>
  </si>
  <si>
    <t>[1] for max; hypothesis for min: lower TS would require too high volume for low biogas production</t>
  </si>
  <si>
    <t>[1] for min; [2] for max</t>
  </si>
  <si>
    <t>Main reference</t>
  </si>
  <si>
    <t>Core guide</t>
  </si>
  <si>
    <t>Numbered references</t>
  </si>
  <si>
    <t>hqwash@unhcr.org</t>
  </si>
  <si>
    <t xml:space="preserve">Contact at UNHCR DRS TSS: </t>
  </si>
  <si>
    <t>Authors:</t>
  </si>
  <si>
    <t>Contact:</t>
  </si>
  <si>
    <t>Vögeli Y. et al. (2014). Anaerobic Digestion of Biowaste in Developing Countries: Practical Information and Case Studies. Swiss Federal Institute of Aquatic Science and Technology (Eawag), Dübendorf, Switzerland.</t>
  </si>
  <si>
    <t>Zurbrügg C., Tosi Robinson D. and Ubbiali S. (2024). Is biogas a feasible option? Assessing anaerobic digestion in humanitarian contexts. Geneva Technical Hub, Geneva, Switzerland.</t>
  </si>
  <si>
    <t>Evaluates the biogas production potential based on the feedstock(s) entered by the user</t>
  </si>
  <si>
    <t>Using the default values is recommended unless you are an experienced user of the tool and an AD expert</t>
  </si>
  <si>
    <t>Suitability factor ranges</t>
  </si>
  <si>
    <t>Here, you can find detailed information on possible feedstocks for biogas production. For full functionality of the tool, all columns must be filled out.</t>
  </si>
  <si>
    <t>With this tool, you can evaluate the potential biogas production through anaerobic digestion in a continuous wet system, according to your waste streams available, including co-processing of solid and sanitation waste</t>
  </si>
  <si>
    <r>
      <t>This tool comes hand-in-hand with the guidance document</t>
    </r>
    <r>
      <rPr>
        <b/>
        <i/>
        <sz val="11"/>
        <rFont val="Calibri"/>
        <family val="2"/>
        <scheme val="minor"/>
      </rPr>
      <t xml:space="preserve"> "Is biogas a feasible option? Assessing anaerobic digestion in humanitarian contexts" </t>
    </r>
    <r>
      <rPr>
        <sz val="11"/>
        <rFont val="Calibri"/>
        <family val="2"/>
        <scheme val="minor"/>
      </rPr>
      <t>(Zurbrügg et al., 2024).</t>
    </r>
    <r>
      <rPr>
        <b/>
        <i/>
        <sz val="11"/>
        <rFont val="Calibri"/>
        <family val="2"/>
        <scheme val="minor"/>
      </rPr>
      <t xml:space="preserve"> </t>
    </r>
    <r>
      <rPr>
        <sz val="11"/>
        <rFont val="Calibri"/>
        <family val="2"/>
        <scheme val="minor"/>
      </rPr>
      <t>If you need more background information, please consult the guidance document.</t>
    </r>
  </si>
  <si>
    <r>
      <rPr>
        <b/>
        <sz val="11"/>
        <rFont val="Calibri"/>
        <family val="2"/>
        <scheme val="minor"/>
      </rPr>
      <t>1) Technology Evaluation Tool Biogas (TET-Biogas):</t>
    </r>
    <r>
      <rPr>
        <sz val="11"/>
        <rFont val="Calibri"/>
        <family val="2"/>
        <scheme val="minor"/>
      </rPr>
      <t xml:space="preserve"> evaluates the biogas production potential based on the feedstock(s) entered by the user</t>
    </r>
  </si>
  <si>
    <r>
      <t>2) Feedstock database:</t>
    </r>
    <r>
      <rPr>
        <sz val="11"/>
        <rFont val="Calibri"/>
        <family val="2"/>
        <scheme val="minor"/>
      </rPr>
      <t xml:space="preserve"> lists the feedstocks possible for biogas production; the user can add a feedstocks that are not listed</t>
    </r>
  </si>
  <si>
    <r>
      <t xml:space="preserve">- The TET-Biogas tool gives a rapid approximation of biogas production potential and can be used as a first step before consulting a biogas expert.
- Prior to an implementation, thorough biogas production estimations, plant sizing and designing needs to be conducted by a specialized private-sector company, or a specialized consultant or biogas expert.
- The TET tool is part of a package developed to support field practitioners when evaluating the feasibility of anaerobic digestion in humanitarian contexts.
- </t>
    </r>
    <r>
      <rPr>
        <b/>
        <sz val="11"/>
        <rFont val="Calibri"/>
        <family val="2"/>
        <scheme val="minor"/>
      </rPr>
      <t xml:space="preserve">For more information about the preliminary assessments needed in order to use this tool and the implementation &amp; operation of biogas systems, please consult the guide "Is biogas a feasible option? - Assessing anaerobic digestion in humanitarian contexts".
</t>
    </r>
  </si>
  <si>
    <t>This tool can be applied to a continuous wet system, such as fixed or floating dome systems, or a balloon digester system, as shown in the pictures.</t>
  </si>
  <si>
    <r>
      <rPr>
        <b/>
        <sz val="12"/>
        <rFont val="Calibri"/>
        <family val="2"/>
        <scheme val="minor"/>
      </rPr>
      <t xml:space="preserve">Please follow these steps to use the tool:
</t>
    </r>
    <r>
      <rPr>
        <sz val="12"/>
        <rFont val="Calibri"/>
        <family val="2"/>
        <scheme val="minor"/>
      </rPr>
      <t xml:space="preserve">0. Familiarise yourself with biogas key concepts in the guidance document: </t>
    </r>
    <r>
      <rPr>
        <b/>
        <i/>
        <sz val="12"/>
        <rFont val="Calibri"/>
        <family val="2"/>
        <scheme val="minor"/>
      </rPr>
      <t xml:space="preserve">Is biogas a feasible option? Assessing anaerobic digestion in humanitarian contexts </t>
    </r>
    <r>
      <rPr>
        <sz val="12"/>
        <rFont val="Calibri"/>
        <family val="2"/>
        <scheme val="minor"/>
      </rPr>
      <t>(Zurbrügg et al., 2024). 
1. Select your feedstock type and enter the amount in the white cells under "1) Feedstock input" below.
2. Check your mixture suitability in "2) Mixture suitability check" and follow the instructions until the mixture is suitable.
3. Read the tool results under "3) Results". Note that the results are valid only if the feedstock mixture is suitable!</t>
    </r>
  </si>
  <si>
    <r>
      <t xml:space="preserve">These results are </t>
    </r>
    <r>
      <rPr>
        <b/>
        <sz val="14"/>
        <rFont val="Calibri"/>
        <family val="2"/>
        <scheme val="minor"/>
      </rPr>
      <t xml:space="preserve">theoretical estimations </t>
    </r>
    <r>
      <rPr>
        <sz val="14"/>
        <rFont val="Calibri"/>
        <family val="2"/>
        <scheme val="minor"/>
      </rPr>
      <t>and are meant to give only a first approximation. The system design and implementation should be guided by an expert.</t>
    </r>
  </si>
  <si>
    <t>Would you like to show the detailed parameters used for the calculations ?</t>
  </si>
  <si>
    <r>
      <t xml:space="preserve">The values in the white boxes may be changed, but only for advanced users of the tool. We recommend </t>
    </r>
    <r>
      <rPr>
        <b/>
        <i/>
        <sz val="12"/>
        <rFont val="Calibri"/>
        <family val="2"/>
        <scheme val="minor"/>
      </rPr>
      <t>to not modify</t>
    </r>
    <r>
      <rPr>
        <i/>
        <sz val="12"/>
        <rFont val="Calibri"/>
        <family val="2"/>
        <scheme val="minor"/>
      </rPr>
      <t xml:space="preserve"> these values as they are based on the reference literature.</t>
    </r>
  </si>
  <si>
    <t>No</t>
  </si>
  <si>
    <r>
      <t>Space requirement per ton of input feedstock per day [m</t>
    </r>
    <r>
      <rPr>
        <vertAlign val="superscript"/>
        <sz val="11"/>
        <rFont val="Calibri"/>
        <family val="2"/>
        <scheme val="minor"/>
      </rPr>
      <t>2</t>
    </r>
    <r>
      <rPr>
        <sz val="11"/>
        <rFont val="Calibri"/>
        <family val="2"/>
        <scheme val="minor"/>
      </rPr>
      <t>/(ton/day)]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</si>
</sst>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
  </numFmts>
  <fonts count="40" x14ac:knownFonts="1">
    <font>
      <sz val="11"/>
      <color theme="1"/>
      <name val="Calibri"/>
      <family val="2"/>
      <scheme val="minor"/>
    </font>
    <font>
      <b/>
      <sz val="11"/>
      <color theme="1"/>
      <name val="Calibri"/>
      <family val="2"/>
      <scheme val="minor"/>
    </font>
    <font>
      <b/>
      <sz val="20"/>
      <color theme="1"/>
      <name val="Calibri"/>
      <family val="2"/>
      <scheme val="minor"/>
    </font>
    <font>
      <sz val="11"/>
      <color theme="1"/>
      <name val="Calibri"/>
      <family val="2"/>
      <scheme val="minor"/>
    </font>
    <font>
      <sz val="11"/>
      <name val="Calibri"/>
      <family val="2"/>
      <scheme val="minor"/>
    </font>
    <font>
      <b/>
      <sz val="12"/>
      <color theme="1"/>
      <name val="Calibri"/>
      <family val="2"/>
      <scheme val="minor"/>
    </font>
    <font>
      <sz val="11"/>
      <color theme="2"/>
      <name val="Calibri"/>
      <family val="2"/>
      <scheme val="minor"/>
    </font>
    <font>
      <b/>
      <sz val="16"/>
      <color theme="1"/>
      <name val="Calibri"/>
      <family val="2"/>
      <scheme val="minor"/>
    </font>
    <font>
      <sz val="11"/>
      <color theme="2" tint="-0.249977111117893"/>
      <name val="Calibri"/>
      <family val="2"/>
      <scheme val="minor"/>
    </font>
    <font>
      <u/>
      <sz val="11"/>
      <color theme="10"/>
      <name val="Calibri"/>
      <family val="2"/>
      <scheme val="minor"/>
    </font>
    <font>
      <i/>
      <sz val="11"/>
      <color theme="1"/>
      <name val="Calibri"/>
      <family val="2"/>
      <scheme val="minor"/>
    </font>
    <font>
      <sz val="12"/>
      <color theme="1"/>
      <name val="Calibri"/>
      <family val="2"/>
      <scheme val="minor"/>
    </font>
    <font>
      <b/>
      <sz val="11"/>
      <name val="Calibri"/>
      <family val="2"/>
      <scheme val="minor"/>
    </font>
    <font>
      <b/>
      <i/>
      <sz val="18"/>
      <color rgb="FF0070C0"/>
      <name val="Calibri"/>
      <family val="2"/>
      <scheme val="minor"/>
    </font>
    <font>
      <i/>
      <sz val="12"/>
      <color theme="1"/>
      <name val="Calibri"/>
      <family val="2"/>
      <scheme val="minor"/>
    </font>
    <font>
      <u/>
      <sz val="12"/>
      <color theme="10"/>
      <name val="Calibri"/>
      <family val="2"/>
      <scheme val="minor"/>
    </font>
    <font>
      <b/>
      <i/>
      <sz val="14"/>
      <color rgb="FF0070C0"/>
      <name val="Calibri"/>
      <family val="2"/>
      <scheme val="minor"/>
    </font>
    <font>
      <sz val="12"/>
      <color rgb="FFFF0000"/>
      <name val="Calibri"/>
      <family val="2"/>
      <scheme val="minor"/>
    </font>
    <font>
      <sz val="16"/>
      <color theme="1"/>
      <name val="Calibri"/>
      <family val="2"/>
      <scheme val="minor"/>
    </font>
    <font>
      <b/>
      <sz val="12"/>
      <name val="Calibri"/>
      <family val="2"/>
      <scheme val="minor"/>
    </font>
    <font>
      <sz val="12"/>
      <name val="Calibri"/>
      <family val="2"/>
      <scheme val="minor"/>
    </font>
    <font>
      <b/>
      <i/>
      <sz val="12"/>
      <color rgb="FF0070C0"/>
      <name val="Calibri"/>
      <family val="2"/>
      <scheme val="minor"/>
    </font>
    <font>
      <b/>
      <sz val="11"/>
      <color rgb="FF0070C0"/>
      <name val="Calibri"/>
      <family val="2"/>
      <scheme val="minor"/>
    </font>
    <font>
      <b/>
      <sz val="16"/>
      <color rgb="FF0070C0"/>
      <name val="Calibri"/>
      <family val="2"/>
      <scheme val="minor"/>
    </font>
    <font>
      <sz val="11"/>
      <color rgb="FF0070C0"/>
      <name val="Calibri"/>
      <family val="2"/>
      <scheme val="minor"/>
    </font>
    <font>
      <b/>
      <sz val="20"/>
      <color rgb="FF0070C0"/>
      <name val="Calibri"/>
      <family val="2"/>
      <scheme val="minor"/>
    </font>
    <font>
      <i/>
      <sz val="18"/>
      <color rgb="FF0070C0"/>
      <name val="Calibri"/>
      <family val="2"/>
      <scheme val="minor"/>
    </font>
    <font>
      <b/>
      <sz val="18"/>
      <color rgb="FF0070C0"/>
      <name val="Calibri"/>
      <family val="2"/>
      <scheme val="minor"/>
    </font>
    <font>
      <sz val="14"/>
      <color rgb="FF0070C0"/>
      <name val="Calibri"/>
      <family val="2"/>
      <scheme val="minor"/>
    </font>
    <font>
      <sz val="11"/>
      <color rgb="FFFF0000"/>
      <name val="Calibri"/>
      <family val="2"/>
      <scheme val="minor"/>
    </font>
    <font>
      <i/>
      <sz val="11"/>
      <color rgb="FFFF0000"/>
      <name val="Calibri"/>
      <family val="2"/>
      <scheme val="minor"/>
    </font>
    <font>
      <b/>
      <sz val="16"/>
      <color rgb="FFFF0000"/>
      <name val="Calibri"/>
      <family val="2"/>
      <scheme val="minor"/>
    </font>
    <font>
      <i/>
      <sz val="12"/>
      <name val="Calibri"/>
      <family val="2"/>
      <scheme val="minor"/>
    </font>
    <font>
      <sz val="14"/>
      <name val="Calibri"/>
      <family val="2"/>
      <scheme val="minor"/>
    </font>
    <font>
      <vertAlign val="superscript"/>
      <sz val="11"/>
      <color theme="1"/>
      <name val="Calibri"/>
      <family val="2"/>
      <scheme val="minor"/>
    </font>
    <font>
      <b/>
      <i/>
      <sz val="12"/>
      <name val="Calibri"/>
      <family val="2"/>
      <scheme val="minor"/>
    </font>
    <font>
      <i/>
      <sz val="11"/>
      <name val="Calibri"/>
      <family val="2"/>
      <scheme val="minor"/>
    </font>
    <font>
      <b/>
      <i/>
      <sz val="11"/>
      <name val="Calibri"/>
      <family val="2"/>
      <scheme val="minor"/>
    </font>
    <font>
      <b/>
      <sz val="14"/>
      <name val="Calibri"/>
      <family val="2"/>
      <scheme val="minor"/>
    </font>
    <font>
      <vertAlign val="superscript"/>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9.9978637043366805E-2"/>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9" fontId="3" fillId="0" borderId="0" applyFont="0" applyFill="0" applyBorder="0" applyAlignment="0" applyProtection="0"/>
    <xf numFmtId="0" fontId="9" fillId="0" borderId="0" applyNumberFormat="0" applyFill="0" applyBorder="0" applyAlignment="0" applyProtection="0"/>
  </cellStyleXfs>
  <cellXfs count="275">
    <xf numFmtId="0" fontId="0" fillId="0" borderId="0" xfId="0"/>
    <xf numFmtId="0" fontId="0" fillId="2" borderId="0" xfId="0" applyFill="1"/>
    <xf numFmtId="0" fontId="0" fillId="2" borderId="0" xfId="0" applyFill="1" applyBorder="1"/>
    <xf numFmtId="0" fontId="0" fillId="2" borderId="9" xfId="0" applyFill="1" applyBorder="1"/>
    <xf numFmtId="0" fontId="0" fillId="2" borderId="0" xfId="0" applyFill="1" applyBorder="1" applyAlignment="1"/>
    <xf numFmtId="0" fontId="0" fillId="2" borderId="0" xfId="0" applyFill="1" applyBorder="1" applyAlignment="1">
      <alignment horizontal="right"/>
    </xf>
    <xf numFmtId="0" fontId="0" fillId="2" borderId="0" xfId="0" applyFill="1"/>
    <xf numFmtId="0" fontId="0" fillId="2" borderId="0" xfId="0" applyFill="1" applyBorder="1"/>
    <xf numFmtId="0" fontId="0" fillId="2" borderId="0" xfId="0" applyNumberFormat="1" applyFill="1" applyBorder="1"/>
    <xf numFmtId="0" fontId="6" fillId="2" borderId="0" xfId="0" applyFont="1" applyFill="1" applyBorder="1"/>
    <xf numFmtId="0" fontId="0" fillId="2" borderId="0" xfId="0" applyFont="1" applyFill="1" applyBorder="1"/>
    <xf numFmtId="164" fontId="0" fillId="2" borderId="0" xfId="0" applyNumberFormat="1" applyFont="1" applyFill="1" applyBorder="1"/>
    <xf numFmtId="0" fontId="7" fillId="2" borderId="0" xfId="0" applyFont="1" applyFill="1" applyBorder="1"/>
    <xf numFmtId="0" fontId="4" fillId="2" borderId="9" xfId="0" applyFont="1" applyFill="1" applyBorder="1"/>
    <xf numFmtId="0" fontId="0" fillId="2" borderId="9" xfId="0" applyFill="1" applyBorder="1" applyAlignment="1">
      <alignment horizontal="right"/>
    </xf>
    <xf numFmtId="0" fontId="0" fillId="2" borderId="9" xfId="0" applyNumberFormat="1" applyFill="1" applyBorder="1"/>
    <xf numFmtId="164" fontId="0" fillId="2" borderId="0" xfId="0" applyNumberFormat="1" applyFill="1"/>
    <xf numFmtId="1" fontId="0" fillId="2" borderId="9" xfId="0" applyNumberFormat="1" applyFill="1" applyBorder="1" applyAlignment="1">
      <alignment vertical="center"/>
    </xf>
    <xf numFmtId="0" fontId="0" fillId="2" borderId="9" xfId="0" applyFill="1" applyBorder="1" applyAlignment="1">
      <alignment vertical="center"/>
    </xf>
    <xf numFmtId="0" fontId="4" fillId="2" borderId="0" xfId="0" applyFont="1" applyFill="1" applyBorder="1"/>
    <xf numFmtId="0" fontId="4" fillId="2" borderId="0" xfId="0" applyNumberFormat="1" applyFont="1" applyFill="1" applyBorder="1" applyAlignment="1">
      <alignment horizontal="center"/>
    </xf>
    <xf numFmtId="0" fontId="4" fillId="2" borderId="0" xfId="0" applyFont="1" applyFill="1" applyBorder="1" applyAlignment="1">
      <alignment horizontal="right"/>
    </xf>
    <xf numFmtId="164" fontId="4" fillId="2" borderId="0" xfId="0" applyNumberFormat="1" applyFont="1" applyFill="1" applyBorder="1"/>
    <xf numFmtId="0" fontId="0" fillId="2" borderId="0" xfId="0" applyFill="1" applyBorder="1" applyAlignment="1">
      <alignment horizontal="right" wrapText="1"/>
    </xf>
    <xf numFmtId="1" fontId="0" fillId="2" borderId="0" xfId="0" applyNumberFormat="1" applyFill="1" applyBorder="1" applyAlignment="1">
      <alignment vertical="center"/>
    </xf>
    <xf numFmtId="0" fontId="1" fillId="2" borderId="0" xfId="0" applyFont="1" applyFill="1" applyBorder="1" applyAlignment="1">
      <alignment horizontal="right"/>
    </xf>
    <xf numFmtId="0" fontId="0" fillId="4" borderId="0" xfId="0" applyFill="1"/>
    <xf numFmtId="0" fontId="0" fillId="2" borderId="0" xfId="0" applyFill="1" applyBorder="1" applyAlignment="1">
      <alignment horizontal="right" vertical="center" wrapText="1"/>
    </xf>
    <xf numFmtId="0" fontId="8" fillId="2" borderId="0" xfId="0" applyFont="1" applyFill="1" applyBorder="1" applyAlignment="1">
      <alignment vertical="center" wrapText="1"/>
    </xf>
    <xf numFmtId="0" fontId="0" fillId="2" borderId="0" xfId="0" applyFill="1" applyAlignment="1">
      <alignment horizontal="left" vertical="center" wrapText="1"/>
    </xf>
    <xf numFmtId="0" fontId="9" fillId="2" borderId="0" xfId="2" applyFill="1"/>
    <xf numFmtId="0" fontId="0" fillId="2" borderId="0" xfId="0" applyFill="1" applyBorder="1" applyAlignment="1">
      <alignment horizontal="right" vertical="center"/>
    </xf>
    <xf numFmtId="0" fontId="0" fillId="2" borderId="0" xfId="0" applyFill="1" applyAlignment="1">
      <alignment vertical="center"/>
    </xf>
    <xf numFmtId="165" fontId="0" fillId="2" borderId="0" xfId="1" applyNumberFormat="1" applyFont="1" applyFill="1" applyAlignment="1">
      <alignment horizontal="right" vertical="center"/>
    </xf>
    <xf numFmtId="0" fontId="0" fillId="2" borderId="0" xfId="0" applyFill="1" applyAlignment="1">
      <alignment horizontal="right" vertical="center"/>
    </xf>
    <xf numFmtId="2" fontId="0" fillId="2" borderId="9" xfId="0" applyNumberFormat="1" applyFill="1" applyBorder="1" applyAlignment="1">
      <alignment horizontal="right" vertical="center"/>
    </xf>
    <xf numFmtId="0" fontId="0" fillId="2" borderId="9" xfId="0" applyFill="1" applyBorder="1" applyAlignment="1">
      <alignment horizontal="right" vertical="center"/>
    </xf>
    <xf numFmtId="165" fontId="0" fillId="2" borderId="0" xfId="1" applyNumberFormat="1" applyFont="1" applyFill="1" applyAlignment="1">
      <alignment horizontal="right" vertical="center" wrapText="1"/>
    </xf>
    <xf numFmtId="0" fontId="9" fillId="2" borderId="0" xfId="2" applyFill="1" applyAlignment="1">
      <alignment vertical="center"/>
    </xf>
    <xf numFmtId="0" fontId="0" fillId="0" borderId="0" xfId="0" applyFill="1" applyAlignment="1">
      <alignment horizontal="right" vertical="center"/>
    </xf>
    <xf numFmtId="0" fontId="0" fillId="2" borderId="0" xfId="0" applyFill="1" applyAlignment="1">
      <alignment wrapText="1"/>
    </xf>
    <xf numFmtId="0" fontId="13" fillId="2" borderId="0" xfId="0" applyFont="1" applyFill="1" applyAlignment="1">
      <alignment wrapText="1"/>
    </xf>
    <xf numFmtId="166" fontId="0" fillId="2" borderId="9" xfId="1" applyNumberFormat="1" applyFont="1" applyFill="1" applyBorder="1" applyAlignment="1">
      <alignment horizontal="right" vertical="center"/>
    </xf>
    <xf numFmtId="165" fontId="0" fillId="2" borderId="9" xfId="1" applyNumberFormat="1" applyFont="1" applyFill="1" applyBorder="1" applyAlignment="1">
      <alignment horizontal="right" vertical="center"/>
    </xf>
    <xf numFmtId="166" fontId="0" fillId="2" borderId="9" xfId="0" applyNumberFormat="1" applyFill="1" applyBorder="1" applyAlignment="1">
      <alignment horizontal="right" vertical="center"/>
    </xf>
    <xf numFmtId="2" fontId="0" fillId="2" borderId="9" xfId="0" applyNumberFormat="1" applyFill="1" applyBorder="1" applyAlignment="1">
      <alignment vertical="center"/>
    </xf>
    <xf numFmtId="166" fontId="0" fillId="2" borderId="9" xfId="0" applyNumberFormat="1" applyFill="1" applyBorder="1" applyAlignment="1">
      <alignment vertical="center"/>
    </xf>
    <xf numFmtId="166" fontId="0" fillId="2" borderId="9" xfId="1" applyNumberFormat="1" applyFont="1" applyFill="1" applyBorder="1" applyAlignment="1">
      <alignment vertical="center"/>
    </xf>
    <xf numFmtId="164" fontId="0" fillId="2" borderId="9" xfId="0" applyNumberFormat="1" applyFill="1" applyBorder="1" applyAlignment="1">
      <alignment vertical="center"/>
    </xf>
    <xf numFmtId="0" fontId="4" fillId="2" borderId="9" xfId="0" applyFont="1" applyFill="1" applyBorder="1" applyAlignment="1">
      <alignment vertical="center"/>
    </xf>
    <xf numFmtId="0" fontId="1" fillId="2" borderId="0" xfId="0" applyFont="1" applyFill="1"/>
    <xf numFmtId="0" fontId="14" fillId="2" borderId="0" xfId="0" applyFont="1" applyFill="1"/>
    <xf numFmtId="0" fontId="11" fillId="2" borderId="0" xfId="0" applyFont="1" applyFill="1"/>
    <xf numFmtId="0" fontId="15" fillId="2" borderId="0" xfId="2" applyFont="1" applyFill="1"/>
    <xf numFmtId="0" fontId="0" fillId="2" borderId="0" xfId="0" applyFill="1" applyBorder="1" applyAlignment="1">
      <alignment vertical="center"/>
    </xf>
    <xf numFmtId="2" fontId="0" fillId="2" borderId="0" xfId="0" applyNumberFormat="1" applyFill="1" applyBorder="1" applyAlignment="1">
      <alignment vertical="center"/>
    </xf>
    <xf numFmtId="166" fontId="0" fillId="2" borderId="0" xfId="1" applyNumberFormat="1" applyFont="1" applyFill="1" applyBorder="1" applyAlignment="1">
      <alignment horizontal="right" vertical="center"/>
    </xf>
    <xf numFmtId="166" fontId="0" fillId="2" borderId="0" xfId="1" applyNumberFormat="1" applyFont="1" applyFill="1" applyBorder="1" applyAlignment="1">
      <alignment vertical="center"/>
    </xf>
    <xf numFmtId="165" fontId="0" fillId="2" borderId="0" xfId="1" applyNumberFormat="1" applyFont="1" applyFill="1" applyBorder="1" applyAlignment="1">
      <alignment horizontal="right" vertical="center"/>
    </xf>
    <xf numFmtId="0" fontId="1" fillId="2" borderId="9" xfId="0" applyFont="1" applyFill="1" applyBorder="1" applyAlignment="1">
      <alignment vertical="center"/>
    </xf>
    <xf numFmtId="0" fontId="1" fillId="2" borderId="9" xfId="0" applyFont="1" applyFill="1" applyBorder="1" applyAlignment="1">
      <alignment vertical="center" wrapText="1"/>
    </xf>
    <xf numFmtId="0" fontId="12" fillId="2" borderId="9" xfId="0" applyFont="1" applyFill="1" applyBorder="1" applyAlignment="1">
      <alignment vertical="center"/>
    </xf>
    <xf numFmtId="0" fontId="1" fillId="2" borderId="0" xfId="0" applyFont="1" applyFill="1" applyBorder="1" applyAlignment="1">
      <alignment vertical="center"/>
    </xf>
    <xf numFmtId="0" fontId="1" fillId="2" borderId="0" xfId="0" applyFont="1" applyFill="1" applyBorder="1" applyAlignment="1">
      <alignment horizontal="center" wrapText="1"/>
    </xf>
    <xf numFmtId="0" fontId="1" fillId="2" borderId="0" xfId="0" applyFont="1" applyFill="1" applyBorder="1" applyAlignment="1">
      <alignment wrapText="1"/>
    </xf>
    <xf numFmtId="0" fontId="16" fillId="2" borderId="0" xfId="0" applyFont="1" applyFill="1" applyBorder="1" applyAlignment="1">
      <alignment vertical="center"/>
    </xf>
    <xf numFmtId="0" fontId="13" fillId="2" borderId="0" xfId="0" applyFont="1" applyFill="1" applyBorder="1" applyAlignment="1">
      <alignment wrapText="1"/>
    </xf>
    <xf numFmtId="0" fontId="18" fillId="2" borderId="0" xfId="0" applyFont="1" applyFill="1"/>
    <xf numFmtId="0" fontId="0" fillId="2" borderId="0" xfId="0" applyFill="1" applyAlignment="1">
      <alignment horizontal="center" vertical="top"/>
    </xf>
    <xf numFmtId="0" fontId="20" fillId="2" borderId="10" xfId="0" applyFont="1" applyFill="1" applyBorder="1" applyAlignment="1">
      <alignment horizontal="right" vertical="center" wrapText="1"/>
    </xf>
    <xf numFmtId="0" fontId="20" fillId="2" borderId="18" xfId="0" applyFont="1" applyFill="1" applyBorder="1" applyAlignment="1">
      <alignment vertical="center"/>
    </xf>
    <xf numFmtId="0" fontId="20" fillId="2" borderId="11" xfId="0" applyFont="1" applyFill="1" applyBorder="1" applyAlignment="1">
      <alignment horizontal="right" vertical="center" wrapText="1"/>
    </xf>
    <xf numFmtId="0" fontId="20" fillId="2" borderId="19" xfId="0" applyFont="1" applyFill="1" applyBorder="1" applyAlignment="1">
      <alignment vertical="center"/>
    </xf>
    <xf numFmtId="0" fontId="11" fillId="2" borderId="0" xfId="0" applyFont="1" applyFill="1" applyBorder="1" applyAlignment="1">
      <alignment horizontal="left" vertical="center"/>
    </xf>
    <xf numFmtId="0" fontId="11" fillId="2" borderId="0" xfId="0" applyFont="1" applyFill="1" applyBorder="1" applyAlignment="1">
      <alignment horizontal="left" vertical="center" wrapText="1"/>
    </xf>
    <xf numFmtId="0" fontId="20" fillId="2" borderId="0" xfId="0" applyNumberFormat="1" applyFont="1" applyFill="1" applyBorder="1" applyAlignment="1">
      <alignment horizontal="center"/>
    </xf>
    <xf numFmtId="0" fontId="21" fillId="2" borderId="0" xfId="0" applyFont="1" applyFill="1" applyBorder="1" applyAlignment="1">
      <alignment vertical="center"/>
    </xf>
    <xf numFmtId="0" fontId="20" fillId="2" borderId="0" xfId="0" applyFont="1" applyFill="1" applyBorder="1"/>
    <xf numFmtId="0" fontId="0" fillId="5" borderId="0" xfId="0" applyFill="1"/>
    <xf numFmtId="0" fontId="11" fillId="5" borderId="0" xfId="0" applyFont="1" applyFill="1" applyAlignment="1">
      <alignment vertical="center" wrapText="1"/>
    </xf>
    <xf numFmtId="0" fontId="24" fillId="5" borderId="0" xfId="0" applyFont="1" applyFill="1"/>
    <xf numFmtId="0" fontId="25" fillId="5" borderId="0" xfId="0" applyFont="1" applyFill="1"/>
    <xf numFmtId="0" fontId="0" fillId="6" borderId="0" xfId="0" applyFill="1"/>
    <xf numFmtId="0" fontId="0" fillId="6" borderId="0" xfId="0" applyFill="1" applyBorder="1"/>
    <xf numFmtId="0" fontId="2" fillId="5" borderId="0" xfId="0" applyFont="1" applyFill="1" applyBorder="1"/>
    <xf numFmtId="0" fontId="7" fillId="5" borderId="0" xfId="0" applyFont="1" applyFill="1" applyBorder="1"/>
    <xf numFmtId="0" fontId="10" fillId="5" borderId="0" xfId="0" applyFont="1" applyFill="1"/>
    <xf numFmtId="0" fontId="19" fillId="5" borderId="15" xfId="0" applyFont="1" applyFill="1" applyBorder="1" applyAlignment="1">
      <alignment horizontal="center" vertical="center" wrapText="1"/>
    </xf>
    <xf numFmtId="0" fontId="19" fillId="5" borderId="15" xfId="0" applyFont="1" applyFill="1" applyBorder="1" applyAlignment="1">
      <alignment horizontal="center" vertical="center"/>
    </xf>
    <xf numFmtId="0" fontId="19" fillId="5" borderId="16"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20" fillId="6" borderId="4" xfId="0" applyNumberFormat="1" applyFont="1" applyFill="1" applyBorder="1" applyAlignment="1">
      <alignment horizontal="center" vertical="center"/>
    </xf>
    <xf numFmtId="1" fontId="20" fillId="6" borderId="5" xfId="0" applyNumberFormat="1" applyFont="1" applyFill="1" applyBorder="1" applyAlignment="1">
      <alignment horizontal="center" vertical="center"/>
    </xf>
    <xf numFmtId="2" fontId="20" fillId="6" borderId="0" xfId="0" applyNumberFormat="1" applyFont="1" applyFill="1" applyBorder="1" applyAlignment="1">
      <alignment horizontal="center" vertical="center"/>
    </xf>
    <xf numFmtId="2" fontId="20" fillId="6" borderId="0" xfId="0" applyNumberFormat="1" applyFont="1" applyFill="1" applyBorder="1" applyAlignment="1">
      <alignment vertical="center"/>
    </xf>
    <xf numFmtId="2" fontId="20" fillId="6" borderId="5" xfId="0" applyNumberFormat="1" applyFont="1" applyFill="1" applyBorder="1" applyAlignment="1">
      <alignment vertical="center"/>
    </xf>
    <xf numFmtId="0" fontId="20" fillId="6" borderId="6" xfId="0" applyNumberFormat="1" applyFont="1" applyFill="1" applyBorder="1" applyAlignment="1">
      <alignment horizontal="center" vertical="center"/>
    </xf>
    <xf numFmtId="1" fontId="20" fillId="6" borderId="8" xfId="0" applyNumberFormat="1" applyFont="1" applyFill="1" applyBorder="1" applyAlignment="1">
      <alignment horizontal="center" vertical="center"/>
    </xf>
    <xf numFmtId="2" fontId="20" fillId="6" borderId="7" xfId="0" applyNumberFormat="1" applyFont="1" applyFill="1" applyBorder="1" applyAlignment="1">
      <alignment horizontal="center" vertical="center"/>
    </xf>
    <xf numFmtId="2" fontId="20" fillId="6" borderId="7" xfId="0" applyNumberFormat="1" applyFont="1" applyFill="1" applyBorder="1" applyAlignment="1">
      <alignment vertical="center"/>
    </xf>
    <xf numFmtId="2" fontId="20" fillId="6" borderId="8" xfId="0" applyNumberFormat="1" applyFont="1" applyFill="1" applyBorder="1" applyAlignment="1">
      <alignment vertical="center"/>
    </xf>
    <xf numFmtId="0" fontId="26" fillId="2" borderId="0" xfId="0" applyFont="1" applyFill="1" applyBorder="1" applyAlignment="1">
      <alignment wrapText="1"/>
    </xf>
    <xf numFmtId="0" fontId="0" fillId="2" borderId="0" xfId="0" applyFont="1" applyFill="1"/>
    <xf numFmtId="0" fontId="28" fillId="2" borderId="0" xfId="0" applyFont="1" applyFill="1" applyBorder="1" applyAlignment="1">
      <alignment vertical="center"/>
    </xf>
    <xf numFmtId="0" fontId="0" fillId="5" borderId="1" xfId="0" applyFill="1" applyBorder="1"/>
    <xf numFmtId="0" fontId="7" fillId="5" borderId="2" xfId="0" applyFont="1" applyFill="1" applyBorder="1" applyAlignment="1">
      <alignment horizontal="right"/>
    </xf>
    <xf numFmtId="0" fontId="0" fillId="5" borderId="2" xfId="0" applyFill="1" applyBorder="1"/>
    <xf numFmtId="0" fontId="0" fillId="6" borderId="4" xfId="0" applyFill="1" applyBorder="1"/>
    <xf numFmtId="0" fontId="1" fillId="6" borderId="0" xfId="0" applyFont="1" applyFill="1" applyBorder="1"/>
    <xf numFmtId="0" fontId="0" fillId="6" borderId="5" xfId="0" applyFill="1" applyBorder="1"/>
    <xf numFmtId="0" fontId="0" fillId="6" borderId="0" xfId="0" applyFill="1" applyBorder="1" applyAlignment="1">
      <alignment horizontal="right"/>
    </xf>
    <xf numFmtId="0" fontId="10" fillId="6" borderId="0" xfId="0" applyFont="1" applyFill="1" applyBorder="1"/>
    <xf numFmtId="0" fontId="0" fillId="6" borderId="6" xfId="0" applyFill="1" applyBorder="1"/>
    <xf numFmtId="0" fontId="0" fillId="6" borderId="7" xfId="0" applyFill="1" applyBorder="1"/>
    <xf numFmtId="165" fontId="0" fillId="6" borderId="5" xfId="0" applyNumberFormat="1" applyFill="1" applyBorder="1" applyAlignment="1">
      <alignment horizontal="center" vertical="center"/>
    </xf>
    <xf numFmtId="0" fontId="0" fillId="6" borderId="8" xfId="0" applyFill="1" applyBorder="1"/>
    <xf numFmtId="0" fontId="0" fillId="6" borderId="1" xfId="0" applyFill="1" applyBorder="1"/>
    <xf numFmtId="0" fontId="0" fillId="6" borderId="2" xfId="0" applyFill="1" applyBorder="1" applyAlignment="1">
      <alignment horizontal="center"/>
    </xf>
    <xf numFmtId="0" fontId="0" fillId="6" borderId="3" xfId="0" applyFill="1" applyBorder="1" applyAlignment="1">
      <alignment horizontal="center"/>
    </xf>
    <xf numFmtId="165" fontId="0" fillId="6" borderId="7" xfId="0" applyNumberFormat="1" applyFill="1" applyBorder="1" applyAlignment="1">
      <alignment horizontal="center"/>
    </xf>
    <xf numFmtId="2" fontId="0" fillId="6" borderId="7" xfId="0" applyNumberFormat="1" applyFill="1" applyBorder="1" applyAlignment="1">
      <alignment horizontal="center"/>
    </xf>
    <xf numFmtId="0" fontId="0" fillId="6" borderId="7" xfId="0" applyFill="1" applyBorder="1" applyAlignment="1">
      <alignment horizontal="center"/>
    </xf>
    <xf numFmtId="164" fontId="0" fillId="6" borderId="7" xfId="0" applyNumberFormat="1" applyFill="1" applyBorder="1" applyAlignment="1">
      <alignment horizontal="center"/>
    </xf>
    <xf numFmtId="2" fontId="0" fillId="6" borderId="8" xfId="0" applyNumberFormat="1" applyFill="1" applyBorder="1" applyAlignment="1">
      <alignment horizontal="center"/>
    </xf>
    <xf numFmtId="0" fontId="5" fillId="6" borderId="2" xfId="0" applyFont="1" applyFill="1" applyBorder="1"/>
    <xf numFmtId="0" fontId="0" fillId="6" borderId="2" xfId="0" applyFill="1" applyBorder="1"/>
    <xf numFmtId="0" fontId="1" fillId="6" borderId="2" xfId="0" applyFont="1" applyFill="1" applyBorder="1"/>
    <xf numFmtId="0" fontId="0" fillId="6" borderId="3" xfId="0" applyFill="1" applyBorder="1"/>
    <xf numFmtId="0" fontId="5" fillId="6" borderId="0" xfId="0" applyFont="1" applyFill="1" applyBorder="1"/>
    <xf numFmtId="0" fontId="0" fillId="6" borderId="0" xfId="0" applyFont="1" applyFill="1" applyBorder="1"/>
    <xf numFmtId="0" fontId="0" fillId="6" borderId="0" xfId="0" applyFont="1" applyFill="1" applyBorder="1" applyAlignment="1">
      <alignment horizontal="left" wrapText="1"/>
    </xf>
    <xf numFmtId="0" fontId="0" fillId="6" borderId="5" xfId="0" applyFont="1" applyFill="1" applyBorder="1" applyAlignment="1">
      <alignment horizontal="left" wrapText="1"/>
    </xf>
    <xf numFmtId="0" fontId="0" fillId="6" borderId="0" xfId="0" applyFill="1" applyBorder="1" applyAlignment="1">
      <alignment vertical="center" wrapText="1"/>
    </xf>
    <xf numFmtId="0" fontId="0" fillId="6" borderId="0" xfId="0" applyFill="1" applyAlignment="1">
      <alignment wrapText="1"/>
    </xf>
    <xf numFmtId="0" fontId="0" fillId="6" borderId="0" xfId="0" applyFill="1" applyBorder="1" applyAlignment="1">
      <alignment wrapText="1"/>
    </xf>
    <xf numFmtId="0" fontId="9" fillId="6" borderId="0" xfId="2" applyFill="1" applyBorder="1"/>
    <xf numFmtId="0" fontId="23" fillId="5" borderId="0" xfId="0" applyFont="1" applyFill="1"/>
    <xf numFmtId="0" fontId="11" fillId="5" borderId="0" xfId="0" applyFont="1" applyFill="1" applyAlignment="1">
      <alignment horizontal="left" vertical="center" wrapText="1"/>
    </xf>
    <xf numFmtId="0" fontId="28" fillId="3" borderId="0" xfId="0" applyFont="1" applyFill="1" applyBorder="1" applyAlignment="1">
      <alignment vertical="center"/>
    </xf>
    <xf numFmtId="0" fontId="11" fillId="2" borderId="0" xfId="0" applyFont="1" applyFill="1" applyAlignment="1">
      <alignment horizontal="left" vertical="center" wrapText="1"/>
    </xf>
    <xf numFmtId="0" fontId="10" fillId="2" borderId="0" xfId="0" applyFont="1" applyFill="1"/>
    <xf numFmtId="0" fontId="1" fillId="6" borderId="6" xfId="0" applyFont="1" applyFill="1" applyBorder="1" applyAlignment="1">
      <alignment horizontal="right"/>
    </xf>
    <xf numFmtId="0" fontId="1" fillId="6" borderId="0" xfId="0" applyFont="1" applyFill="1" applyBorder="1" applyAlignment="1">
      <alignment horizontal="center"/>
    </xf>
    <xf numFmtId="0" fontId="1" fillId="6" borderId="2" xfId="0" applyFont="1" applyFill="1" applyBorder="1" applyAlignment="1">
      <alignment horizontal="center"/>
    </xf>
    <xf numFmtId="0" fontId="1" fillId="6" borderId="5" xfId="0" applyFont="1" applyFill="1" applyBorder="1" applyAlignment="1">
      <alignment horizontal="center"/>
    </xf>
    <xf numFmtId="0" fontId="0" fillId="6" borderId="0" xfId="0" applyFill="1" applyBorder="1" applyAlignment="1">
      <alignment horizontal="center"/>
    </xf>
    <xf numFmtId="0" fontId="29" fillId="2" borderId="0" xfId="0" applyFont="1" applyFill="1"/>
    <xf numFmtId="0" fontId="0" fillId="6" borderId="5" xfId="0" applyFont="1" applyFill="1" applyBorder="1"/>
    <xf numFmtId="0" fontId="7" fillId="7" borderId="22" xfId="0" applyFont="1" applyFill="1" applyBorder="1" applyAlignment="1">
      <alignment horizontal="center" vertical="center"/>
    </xf>
    <xf numFmtId="0" fontId="19" fillId="5" borderId="23" xfId="0" applyFont="1" applyFill="1" applyBorder="1" applyAlignment="1">
      <alignment horizontal="center" vertical="center" wrapText="1"/>
    </xf>
    <xf numFmtId="2" fontId="20" fillId="6" borderId="4" xfId="0" applyNumberFormat="1" applyFont="1" applyFill="1" applyBorder="1" applyAlignment="1">
      <alignment horizontal="center" vertical="center"/>
    </xf>
    <xf numFmtId="2" fontId="20" fillId="6" borderId="6" xfId="0" applyNumberFormat="1" applyFont="1" applyFill="1" applyBorder="1" applyAlignment="1">
      <alignment horizontal="center" vertical="center"/>
    </xf>
    <xf numFmtId="0" fontId="0" fillId="6" borderId="4" xfId="0" applyFill="1" applyBorder="1" applyAlignment="1">
      <alignment horizontal="right" vertical="center"/>
    </xf>
    <xf numFmtId="0" fontId="0" fillId="6" borderId="0" xfId="0" applyFill="1" applyBorder="1" applyAlignment="1">
      <alignment horizontal="center" vertical="center"/>
    </xf>
    <xf numFmtId="0" fontId="27" fillId="3" borderId="0" xfId="0" applyFont="1" applyFill="1" applyAlignment="1">
      <alignment horizontal="left" wrapText="1"/>
    </xf>
    <xf numFmtId="0" fontId="23" fillId="6" borderId="16" xfId="0" applyFont="1" applyFill="1" applyBorder="1" applyAlignment="1">
      <alignment vertical="center"/>
    </xf>
    <xf numFmtId="49" fontId="4" fillId="2" borderId="0" xfId="0" applyNumberFormat="1" applyFont="1" applyFill="1" applyAlignment="1">
      <alignment vertical="center" wrapText="1"/>
    </xf>
    <xf numFmtId="0" fontId="0" fillId="5" borderId="3" xfId="0" applyFill="1" applyBorder="1"/>
    <xf numFmtId="0" fontId="0" fillId="2" borderId="7" xfId="0" applyFill="1" applyBorder="1"/>
    <xf numFmtId="0" fontId="0" fillId="2" borderId="7" xfId="0" applyFill="1" applyBorder="1" applyAlignment="1">
      <alignment horizontal="right" wrapText="1"/>
    </xf>
    <xf numFmtId="1" fontId="0" fillId="2" borderId="7" xfId="0" applyNumberFormat="1" applyFill="1" applyBorder="1" applyAlignment="1">
      <alignment vertical="center"/>
    </xf>
    <xf numFmtId="164" fontId="0" fillId="2" borderId="7" xfId="0" applyNumberFormat="1" applyFont="1" applyFill="1" applyBorder="1"/>
    <xf numFmtId="0" fontId="0" fillId="2" borderId="7" xfId="0" applyFont="1" applyFill="1" applyBorder="1"/>
    <xf numFmtId="0" fontId="6" fillId="2" borderId="7" xfId="0" applyFont="1" applyFill="1" applyBorder="1"/>
    <xf numFmtId="165" fontId="0" fillId="2" borderId="9" xfId="0" applyNumberFormat="1" applyFill="1" applyBorder="1" applyAlignment="1">
      <alignment vertical="center"/>
    </xf>
    <xf numFmtId="0" fontId="19" fillId="2" borderId="0" xfId="0" applyFont="1" applyFill="1" applyBorder="1" applyAlignment="1">
      <alignment horizontal="center" vertical="center" wrapText="1"/>
    </xf>
    <xf numFmtId="0" fontId="20" fillId="2" borderId="0" xfId="0" applyNumberFormat="1" applyFont="1" applyFill="1" applyBorder="1" applyAlignment="1">
      <alignment horizontal="center" vertical="center"/>
    </xf>
    <xf numFmtId="0" fontId="19" fillId="2" borderId="0" xfId="0" applyFont="1" applyFill="1" applyBorder="1" applyAlignment="1">
      <alignment vertical="center"/>
    </xf>
    <xf numFmtId="0" fontId="19" fillId="2" borderId="0" xfId="0" applyFont="1" applyFill="1" applyBorder="1" applyAlignment="1">
      <alignment horizontal="center" vertical="center"/>
    </xf>
    <xf numFmtId="1" fontId="20" fillId="2" borderId="0" xfId="0" applyNumberFormat="1" applyFont="1" applyFill="1" applyBorder="1" applyAlignment="1">
      <alignment horizontal="center" vertical="center"/>
    </xf>
    <xf numFmtId="0" fontId="0" fillId="6" borderId="4" xfId="0" applyFill="1" applyBorder="1" applyAlignment="1">
      <alignment horizontal="right" vertical="center" wrapText="1"/>
    </xf>
    <xf numFmtId="0" fontId="17" fillId="2" borderId="0" xfId="0" applyFont="1" applyFill="1" applyBorder="1" applyAlignment="1">
      <alignment vertical="center" wrapText="1"/>
    </xf>
    <xf numFmtId="165" fontId="17" fillId="2" borderId="0" xfId="0" applyNumberFormat="1" applyFont="1" applyFill="1" applyBorder="1" applyAlignment="1">
      <alignment vertical="center"/>
    </xf>
    <xf numFmtId="0" fontId="29" fillId="2" borderId="0" xfId="0" applyFont="1" applyFill="1" applyBorder="1" applyAlignment="1">
      <alignment horizontal="right" wrapText="1"/>
    </xf>
    <xf numFmtId="1" fontId="0" fillId="2" borderId="0" xfId="0" applyNumberFormat="1" applyFill="1" applyBorder="1" applyAlignment="1">
      <alignment horizontal="center"/>
    </xf>
    <xf numFmtId="164" fontId="29" fillId="2" borderId="0" xfId="0" applyNumberFormat="1" applyFont="1" applyFill="1" applyBorder="1" applyAlignment="1">
      <alignment horizontal="center" vertical="center"/>
    </xf>
    <xf numFmtId="1" fontId="0" fillId="6" borderId="5" xfId="0" applyNumberFormat="1" applyFill="1" applyBorder="1" applyAlignment="1">
      <alignment horizontal="center" vertical="center"/>
    </xf>
    <xf numFmtId="0" fontId="1" fillId="6" borderId="4" xfId="0" applyFont="1" applyFill="1" applyBorder="1" applyAlignment="1">
      <alignment vertical="center"/>
    </xf>
    <xf numFmtId="0" fontId="0" fillId="6" borderId="0" xfId="0" applyFill="1" applyBorder="1" applyAlignment="1">
      <alignment vertical="center"/>
    </xf>
    <xf numFmtId="0" fontId="0" fillId="6" borderId="5" xfId="0" applyFill="1" applyBorder="1" applyAlignment="1">
      <alignment vertical="center"/>
    </xf>
    <xf numFmtId="0" fontId="10" fillId="6" borderId="0" xfId="0" applyFont="1" applyFill="1" applyBorder="1" applyAlignment="1">
      <alignment vertical="center"/>
    </xf>
    <xf numFmtId="165" fontId="29" fillId="6" borderId="7" xfId="0" applyNumberFormat="1" applyFont="1" applyFill="1" applyBorder="1" applyAlignment="1">
      <alignment horizontal="center" vertical="center"/>
    </xf>
    <xf numFmtId="0" fontId="30" fillId="6" borderId="7" xfId="0" applyFont="1" applyFill="1" applyBorder="1" applyAlignment="1">
      <alignment vertical="center"/>
    </xf>
    <xf numFmtId="0" fontId="0" fillId="6" borderId="7" xfId="0" applyFill="1" applyBorder="1" applyAlignment="1">
      <alignment vertical="center"/>
    </xf>
    <xf numFmtId="0" fontId="0" fillId="6" borderId="8" xfId="0" applyFill="1" applyBorder="1" applyAlignment="1">
      <alignment vertical="center"/>
    </xf>
    <xf numFmtId="165" fontId="0" fillId="6" borderId="0" xfId="0" applyNumberFormat="1" applyFill="1" applyBorder="1" applyAlignment="1">
      <alignment horizontal="center" vertical="center"/>
    </xf>
    <xf numFmtId="0" fontId="0" fillId="6" borderId="8" xfId="0" applyFill="1" applyBorder="1" applyAlignment="1">
      <alignment horizontal="right"/>
    </xf>
    <xf numFmtId="0" fontId="10" fillId="6" borderId="6" xfId="0" applyFont="1" applyFill="1" applyBorder="1" applyAlignment="1">
      <alignment horizontal="left"/>
    </xf>
    <xf numFmtId="0" fontId="0" fillId="6" borderId="6" xfId="0" applyFill="1" applyBorder="1" applyAlignment="1">
      <alignment vertical="center"/>
    </xf>
    <xf numFmtId="0" fontId="10" fillId="6" borderId="7" xfId="0" applyFont="1" applyFill="1" applyBorder="1" applyAlignment="1">
      <alignment vertical="center" wrapText="1"/>
    </xf>
    <xf numFmtId="0" fontId="10" fillId="6" borderId="8" xfId="0" applyFont="1" applyFill="1" applyBorder="1" applyAlignment="1">
      <alignment vertical="center" wrapText="1"/>
    </xf>
    <xf numFmtId="0" fontId="24" fillId="2" borderId="0" xfId="0" applyFont="1" applyFill="1"/>
    <xf numFmtId="0" fontId="0" fillId="2" borderId="0" xfId="0" applyFont="1" applyFill="1" applyAlignment="1">
      <alignment horizontal="center" vertical="top"/>
    </xf>
    <xf numFmtId="0" fontId="5" fillId="5" borderId="0" xfId="0" applyFont="1" applyFill="1" applyAlignment="1">
      <alignment horizontal="center" vertical="center" wrapText="1"/>
    </xf>
    <xf numFmtId="0" fontId="36" fillId="2" borderId="0" xfId="0" applyFont="1" applyFill="1"/>
    <xf numFmtId="0" fontId="4" fillId="2" borderId="0" xfId="0" applyFont="1" applyFill="1"/>
    <xf numFmtId="0" fontId="12" fillId="2" borderId="0" xfId="0" applyFont="1" applyFill="1"/>
    <xf numFmtId="0" fontId="33" fillId="2" borderId="0" xfId="0" applyFont="1" applyFill="1"/>
    <xf numFmtId="0" fontId="12" fillId="6" borderId="0" xfId="0" applyFont="1" applyFill="1" applyBorder="1"/>
    <xf numFmtId="0" fontId="32" fillId="6" borderId="0" xfId="0" applyFont="1" applyFill="1" applyBorder="1"/>
    <xf numFmtId="0" fontId="32" fillId="2" borderId="0" xfId="0" applyFont="1" applyFill="1"/>
    <xf numFmtId="0" fontId="4" fillId="6" borderId="0" xfId="0" applyFont="1" applyFill="1" applyBorder="1" applyAlignment="1">
      <alignment wrapText="1"/>
    </xf>
    <xf numFmtId="49" fontId="4" fillId="2" borderId="0" xfId="0" applyNumberFormat="1" applyFont="1" applyFill="1" applyAlignment="1">
      <alignment horizontal="left" vertical="center" wrapText="1"/>
    </xf>
    <xf numFmtId="0" fontId="22" fillId="2" borderId="0" xfId="0" applyFont="1" applyFill="1" applyAlignment="1">
      <alignment horizontal="left"/>
    </xf>
    <xf numFmtId="0" fontId="23" fillId="5" borderId="0" xfId="0" applyFont="1" applyFill="1" applyAlignment="1">
      <alignment horizontal="center" vertical="center"/>
    </xf>
    <xf numFmtId="14" fontId="10" fillId="5" borderId="0" xfId="0" applyNumberFormat="1" applyFont="1" applyFill="1" applyAlignment="1">
      <alignment horizontal="center" vertical="center"/>
    </xf>
    <xf numFmtId="0" fontId="19" fillId="5"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wrapText="1"/>
    </xf>
    <xf numFmtId="0" fontId="4" fillId="0" borderId="0" xfId="0" applyFont="1" applyAlignment="1">
      <alignment wrapText="1"/>
    </xf>
    <xf numFmtId="0" fontId="21" fillId="2" borderId="7"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3"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0" fillId="6" borderId="0" xfId="0" applyFont="1" applyFill="1" applyBorder="1" applyAlignment="1">
      <alignment horizontal="left" vertical="center" wrapText="1"/>
    </xf>
    <xf numFmtId="0" fontId="23" fillId="6" borderId="23" xfId="0" applyFont="1" applyFill="1" applyBorder="1" applyAlignment="1">
      <alignment horizontal="right" vertical="center"/>
    </xf>
    <xf numFmtId="0" fontId="23" fillId="6" borderId="15" xfId="0" applyFont="1" applyFill="1" applyBorder="1" applyAlignment="1">
      <alignment horizontal="right" vertical="center"/>
    </xf>
    <xf numFmtId="0" fontId="0" fillId="6" borderId="4" xfId="0" applyFill="1" applyBorder="1" applyAlignment="1">
      <alignment horizontal="right" vertical="center" wrapText="1"/>
    </xf>
    <xf numFmtId="0" fontId="0" fillId="6" borderId="0" xfId="0" applyFill="1" applyBorder="1" applyAlignment="1">
      <alignment horizontal="right" vertical="center" wrapText="1"/>
    </xf>
    <xf numFmtId="0" fontId="4" fillId="6" borderId="0" xfId="0" applyFont="1" applyFill="1" applyBorder="1" applyAlignment="1">
      <alignment horizontal="center" vertical="center"/>
    </xf>
    <xf numFmtId="0" fontId="31" fillId="2" borderId="0" xfId="0" applyFont="1" applyFill="1" applyBorder="1" applyAlignment="1">
      <alignment horizontal="left"/>
    </xf>
    <xf numFmtId="0" fontId="4" fillId="6" borderId="0" xfId="0" applyFont="1" applyFill="1" applyBorder="1" applyAlignment="1">
      <alignment horizontal="left" vertical="center" wrapText="1"/>
    </xf>
    <xf numFmtId="0" fontId="4" fillId="6" borderId="0" xfId="0" applyFont="1" applyFill="1" applyBorder="1" applyAlignment="1">
      <alignment horizontal="left" wrapText="1"/>
    </xf>
    <xf numFmtId="0" fontId="4" fillId="6" borderId="5" xfId="0" applyFont="1" applyFill="1" applyBorder="1" applyAlignment="1">
      <alignment horizontal="left" wrapText="1"/>
    </xf>
    <xf numFmtId="0" fontId="29" fillId="6" borderId="4" xfId="0" applyFont="1" applyFill="1" applyBorder="1" applyAlignment="1">
      <alignment horizontal="right" vertical="center"/>
    </xf>
    <xf numFmtId="0" fontId="29" fillId="6" borderId="0" xfId="0" applyFont="1" applyFill="1" applyBorder="1" applyAlignment="1">
      <alignment horizontal="right" vertical="center"/>
    </xf>
    <xf numFmtId="0" fontId="5" fillId="5" borderId="12"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0" fillId="6" borderId="5" xfId="0" applyFont="1" applyFill="1" applyBorder="1" applyAlignment="1">
      <alignment horizontal="left" vertical="center" wrapText="1"/>
    </xf>
    <xf numFmtId="0" fontId="27" fillId="2" borderId="0" xfId="0" applyFont="1" applyFill="1" applyAlignment="1">
      <alignment horizontal="left" wrapText="1"/>
    </xf>
    <xf numFmtId="0" fontId="10" fillId="6" borderId="0" xfId="0" applyFont="1" applyFill="1" applyBorder="1" applyAlignment="1">
      <alignment horizontal="left" vertical="center"/>
    </xf>
    <xf numFmtId="0" fontId="10" fillId="6" borderId="5" xfId="0" applyFont="1" applyFill="1" applyBorder="1" applyAlignment="1">
      <alignment horizontal="left" vertical="center"/>
    </xf>
    <xf numFmtId="0" fontId="0" fillId="6" borderId="4" xfId="0" applyFill="1" applyBorder="1" applyAlignment="1">
      <alignment horizontal="right" vertical="center"/>
    </xf>
    <xf numFmtId="0" fontId="0" fillId="6" borderId="0" xfId="0" applyFill="1" applyBorder="1" applyAlignment="1">
      <alignment horizontal="center" vertical="center"/>
    </xf>
    <xf numFmtId="0" fontId="10" fillId="6" borderId="0" xfId="0" applyFont="1" applyFill="1" applyBorder="1" applyAlignment="1">
      <alignment horizontal="left" vertical="center" wrapText="1"/>
    </xf>
    <xf numFmtId="0" fontId="10" fillId="6" borderId="5" xfId="0" applyFont="1" applyFill="1" applyBorder="1" applyAlignment="1">
      <alignment horizontal="left" vertical="center" wrapText="1"/>
    </xf>
    <xf numFmtId="0" fontId="20" fillId="2" borderId="0" xfId="0" applyFont="1" applyFill="1" applyAlignment="1">
      <alignment horizontal="left" wrapText="1"/>
    </xf>
    <xf numFmtId="0" fontId="38" fillId="5" borderId="0" xfId="0" applyFont="1" applyFill="1" applyBorder="1" applyAlignment="1">
      <alignment horizontal="center" vertical="center" wrapText="1"/>
    </xf>
    <xf numFmtId="0" fontId="25" fillId="5" borderId="0"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1" xfId="0" applyFont="1" applyFill="1" applyBorder="1" applyAlignment="1">
      <alignment horizontal="center"/>
    </xf>
    <xf numFmtId="0" fontId="7" fillId="5" borderId="3" xfId="0" applyFont="1" applyFill="1" applyBorder="1" applyAlignment="1">
      <alignment horizontal="center"/>
    </xf>
    <xf numFmtId="0" fontId="7" fillId="5" borderId="2" xfId="0" applyFont="1" applyFill="1" applyBorder="1" applyAlignment="1">
      <alignment horizontal="center"/>
    </xf>
    <xf numFmtId="0" fontId="5" fillId="5" borderId="1" xfId="0" applyFont="1" applyFill="1" applyBorder="1" applyAlignment="1">
      <alignment horizontal="left" vertical="center"/>
    </xf>
    <xf numFmtId="0" fontId="5" fillId="5" borderId="4" xfId="0" applyFont="1" applyFill="1" applyBorder="1" applyAlignment="1">
      <alignment horizontal="left" vertical="center"/>
    </xf>
    <xf numFmtId="0" fontId="5" fillId="5" borderId="6" xfId="0" applyFont="1" applyFill="1" applyBorder="1" applyAlignment="1">
      <alignment horizontal="left" vertical="center"/>
    </xf>
    <xf numFmtId="0" fontId="17" fillId="6" borderId="1" xfId="0" applyFont="1" applyFill="1" applyBorder="1" applyAlignment="1">
      <alignment horizontal="left" vertical="center" wrapText="1"/>
    </xf>
    <xf numFmtId="0" fontId="17" fillId="6" borderId="2" xfId="0" applyFont="1" applyFill="1" applyBorder="1" applyAlignment="1">
      <alignment horizontal="left" vertical="center" wrapText="1"/>
    </xf>
    <xf numFmtId="0" fontId="17" fillId="6" borderId="3" xfId="0" applyFont="1" applyFill="1" applyBorder="1" applyAlignment="1">
      <alignment horizontal="left" vertical="center" wrapText="1"/>
    </xf>
    <xf numFmtId="0" fontId="17" fillId="6" borderId="4"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17" fillId="6" borderId="5" xfId="0" applyFont="1" applyFill="1" applyBorder="1" applyAlignment="1">
      <alignment horizontal="left" vertical="center" wrapText="1"/>
    </xf>
    <xf numFmtId="165" fontId="17" fillId="6" borderId="4" xfId="0" applyNumberFormat="1" applyFont="1" applyFill="1" applyBorder="1" applyAlignment="1">
      <alignment horizontal="left" vertical="center"/>
    </xf>
    <xf numFmtId="165" fontId="17" fillId="6" borderId="0" xfId="0" applyNumberFormat="1" applyFont="1" applyFill="1" applyBorder="1" applyAlignment="1">
      <alignment horizontal="left" vertical="center"/>
    </xf>
    <xf numFmtId="165" fontId="17" fillId="6" borderId="5" xfId="0" applyNumberFormat="1" applyFont="1" applyFill="1" applyBorder="1" applyAlignment="1">
      <alignment horizontal="left" vertical="center"/>
    </xf>
    <xf numFmtId="165" fontId="17" fillId="6" borderId="6" xfId="0" applyNumberFormat="1" applyFont="1" applyFill="1" applyBorder="1" applyAlignment="1">
      <alignment horizontal="left" vertical="center"/>
    </xf>
    <xf numFmtId="165" fontId="17" fillId="6" borderId="7" xfId="0" applyNumberFormat="1" applyFont="1" applyFill="1" applyBorder="1" applyAlignment="1">
      <alignment horizontal="left" vertical="center"/>
    </xf>
    <xf numFmtId="165" fontId="17" fillId="6" borderId="8" xfId="0" applyNumberFormat="1"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19" fillId="5" borderId="20"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19" fillId="5" borderId="17" xfId="0" applyFont="1" applyFill="1" applyBorder="1" applyAlignment="1">
      <alignment horizontal="center" vertical="center"/>
    </xf>
  </cellXfs>
  <cellStyles count="3">
    <cellStyle name="Hyperlink" xfId="2" builtinId="8"/>
    <cellStyle name="Normal" xfId="0" builtinId="0"/>
    <cellStyle name="Percent" xfId="1" builtinId="5"/>
  </cellStyles>
  <dxfs count="6">
    <dxf>
      <font>
        <color theme="0"/>
      </font>
      <fill>
        <patternFill>
          <bgColor theme="0"/>
        </patternFill>
      </fill>
      <border>
        <left/>
        <right/>
        <top/>
        <bottom/>
        <vertical/>
        <horizontal/>
      </border>
    </dxf>
    <dxf>
      <font>
        <strike val="0"/>
        <color theme="0"/>
      </font>
      <fill>
        <patternFill>
          <bgColor theme="0"/>
        </patternFill>
      </fill>
      <border>
        <left/>
        <right/>
        <top/>
        <bottom/>
      </border>
    </dxf>
    <dxf>
      <font>
        <color auto="1"/>
      </font>
    </dxf>
    <dxf>
      <font>
        <color auto="1"/>
      </font>
    </dxf>
    <dxf>
      <font>
        <color auto="1"/>
      </font>
    </dxf>
    <dxf>
      <numFmt numFmtId="0" formatCode="General"/>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388056</xdr:colOff>
      <xdr:row>26</xdr:row>
      <xdr:rowOff>105835</xdr:rowOff>
    </xdr:from>
    <xdr:to>
      <xdr:col>9</xdr:col>
      <xdr:colOff>167852</xdr:colOff>
      <xdr:row>32</xdr:row>
      <xdr:rowOff>72518</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056" y="4007557"/>
          <a:ext cx="4274185" cy="1094105"/>
        </a:xfrm>
        <a:prstGeom prst="rect">
          <a:avLst/>
        </a:prstGeom>
        <a:noFill/>
        <a:ln>
          <a:noFill/>
        </a:ln>
      </xdr:spPr>
    </xdr:pic>
    <xdr:clientData/>
  </xdr:twoCellAnchor>
  <xdr:twoCellAnchor editAs="oneCell">
    <xdr:from>
      <xdr:col>9</xdr:col>
      <xdr:colOff>416278</xdr:colOff>
      <xdr:row>28</xdr:row>
      <xdr:rowOff>127000</xdr:rowOff>
    </xdr:from>
    <xdr:to>
      <xdr:col>12</xdr:col>
      <xdr:colOff>324626</xdr:colOff>
      <xdr:row>30</xdr:row>
      <xdr:rowOff>154445</xdr:rowOff>
    </xdr:to>
    <xdr:pic>
      <xdr:nvPicPr>
        <xdr:cNvPr id="3" name="Picture 2" descr="https://www.internal.eawag.ch/fileadmin_intranet/intranet/kommunikation/mittel/vorlagen/ealogo05-pos.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07667" y="4395611"/>
          <a:ext cx="1834515" cy="39433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209458</xdr:colOff>
      <xdr:row>0</xdr:row>
      <xdr:rowOff>6350</xdr:rowOff>
    </xdr:from>
    <xdr:to>
      <xdr:col>8</xdr:col>
      <xdr:colOff>1762549</xdr:colOff>
      <xdr:row>8</xdr:row>
      <xdr:rowOff>69849</xdr:rowOff>
    </xdr:to>
    <xdr:pic>
      <xdr:nvPicPr>
        <xdr:cNvPr id="2" name="Picture 1"/>
        <xdr:cNvPicPr>
          <a:picLocks noChangeAspect="1"/>
        </xdr:cNvPicPr>
      </xdr:nvPicPr>
      <xdr:blipFill>
        <a:blip xmlns:r="http://schemas.openxmlformats.org/officeDocument/2006/relationships" r:embed="rId1"/>
        <a:stretch>
          <a:fillRect/>
        </a:stretch>
      </xdr:blipFill>
      <xdr:spPr>
        <a:xfrm>
          <a:off x="5803808" y="6350"/>
          <a:ext cx="5915541" cy="2355849"/>
        </a:xfrm>
        <a:prstGeom prst="rect">
          <a:avLst/>
        </a:prstGeom>
      </xdr:spPr>
    </xdr:pic>
    <xdr:clientData/>
  </xdr:twoCellAnchor>
  <xdr:twoCellAnchor editAs="oneCell">
    <xdr:from>
      <xdr:col>5</xdr:col>
      <xdr:colOff>677699</xdr:colOff>
      <xdr:row>10</xdr:row>
      <xdr:rowOff>150089</xdr:rowOff>
    </xdr:from>
    <xdr:to>
      <xdr:col>8</xdr:col>
      <xdr:colOff>519131</xdr:colOff>
      <xdr:row>28</xdr:row>
      <xdr:rowOff>20368</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7899" y="3585439"/>
          <a:ext cx="3118032" cy="439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658090</xdr:colOff>
      <xdr:row>9</xdr:row>
      <xdr:rowOff>127000</xdr:rowOff>
    </xdr:from>
    <xdr:ext cx="2685800" cy="264560"/>
    <xdr:sp macro="" textlink="">
      <xdr:nvSpPr>
        <xdr:cNvPr id="7" name="TextBox 6"/>
        <xdr:cNvSpPr txBox="1"/>
      </xdr:nvSpPr>
      <xdr:spPr>
        <a:xfrm>
          <a:off x="7885545" y="3325091"/>
          <a:ext cx="2685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Summary of feedstocks and key properties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globalmethane.org/resources/details.aspx?resourceid=517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nergypedia.info/wiki/Biogas_Stov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35"/>
  <sheetViews>
    <sheetView tabSelected="1" zoomScaleNormal="100" workbookViewId="0">
      <selection activeCell="P4" sqref="P4"/>
    </sheetView>
  </sheetViews>
  <sheetFormatPr defaultColWidth="0" defaultRowHeight="15" zeroHeight="1" x14ac:dyDescent="0.25"/>
  <cols>
    <col min="1" max="1" width="9.140625" style="6" customWidth="1"/>
    <col min="2" max="2" width="10.85546875" style="6" customWidth="1"/>
    <col min="3" max="14" width="9.140625" style="6" customWidth="1"/>
    <col min="15" max="15" width="8.42578125" style="6" customWidth="1"/>
    <col min="16" max="16" width="11.7109375" style="6" customWidth="1"/>
    <col min="17" max="16384" width="8.7109375" style="6" hidden="1"/>
  </cols>
  <sheetData>
    <row r="1" spans="1:16" s="78" customFormat="1" x14ac:dyDescent="0.25">
      <c r="P1" s="78" t="s">
        <v>63</v>
      </c>
    </row>
    <row r="2" spans="1:16" s="78" customFormat="1" ht="15.6" customHeight="1" x14ac:dyDescent="0.25">
      <c r="A2" s="206" t="s">
        <v>164</v>
      </c>
      <c r="B2" s="206"/>
      <c r="C2" s="206"/>
      <c r="D2" s="206"/>
      <c r="E2" s="206"/>
      <c r="F2" s="206"/>
      <c r="G2" s="206"/>
      <c r="H2" s="206"/>
      <c r="I2" s="206"/>
      <c r="J2" s="206"/>
      <c r="K2" s="206"/>
      <c r="L2" s="206"/>
      <c r="M2" s="206"/>
      <c r="N2" s="206"/>
      <c r="O2" s="206"/>
      <c r="P2" s="207">
        <v>45370</v>
      </c>
    </row>
    <row r="3" spans="1:16" s="78" customFormat="1" ht="14.45" customHeight="1" x14ac:dyDescent="0.25">
      <c r="A3" s="206"/>
      <c r="B3" s="206"/>
      <c r="C3" s="206"/>
      <c r="D3" s="206"/>
      <c r="E3" s="206"/>
      <c r="F3" s="206"/>
      <c r="G3" s="206"/>
      <c r="H3" s="206"/>
      <c r="I3" s="206"/>
      <c r="J3" s="206"/>
      <c r="K3" s="206"/>
      <c r="L3" s="206"/>
      <c r="M3" s="206"/>
      <c r="N3" s="206"/>
      <c r="O3" s="206"/>
      <c r="P3" s="207"/>
    </row>
    <row r="4" spans="1:16" s="78" customFormat="1" ht="15.6" customHeight="1" x14ac:dyDescent="0.25">
      <c r="B4" s="208" t="s">
        <v>185</v>
      </c>
      <c r="C4" s="209"/>
      <c r="D4" s="209"/>
      <c r="E4" s="209"/>
      <c r="F4" s="209"/>
      <c r="G4" s="209"/>
      <c r="H4" s="209"/>
      <c r="I4" s="209"/>
      <c r="J4" s="209"/>
      <c r="K4" s="209"/>
      <c r="L4" s="209"/>
      <c r="M4" s="209"/>
      <c r="N4" s="79"/>
    </row>
    <row r="5" spans="1:16" s="78" customFormat="1" ht="15" customHeight="1" x14ac:dyDescent="0.25">
      <c r="A5" s="195"/>
      <c r="B5" s="209"/>
      <c r="C5" s="209"/>
      <c r="D5" s="209"/>
      <c r="E5" s="209"/>
      <c r="F5" s="209"/>
      <c r="G5" s="209"/>
      <c r="H5" s="209"/>
      <c r="I5" s="209"/>
      <c r="J5" s="209"/>
      <c r="K5" s="209"/>
      <c r="L5" s="209"/>
      <c r="M5" s="209"/>
      <c r="N5" s="79"/>
    </row>
    <row r="6" spans="1:16" s="78" customFormat="1" ht="15.6" customHeight="1" x14ac:dyDescent="0.25">
      <c r="B6" s="139"/>
      <c r="C6" s="139"/>
      <c r="D6" s="139"/>
      <c r="E6" s="139"/>
      <c r="F6" s="139"/>
      <c r="G6" s="139"/>
      <c r="H6" s="139"/>
      <c r="I6" s="139"/>
      <c r="J6" s="139"/>
      <c r="K6" s="139"/>
      <c r="L6" s="139"/>
      <c r="M6" s="139"/>
      <c r="N6" s="139"/>
      <c r="O6" s="139"/>
    </row>
    <row r="7" spans="1:16" ht="15.6" customHeight="1" x14ac:dyDescent="0.25">
      <c r="B7" s="141"/>
      <c r="C7" s="141"/>
      <c r="D7" s="141"/>
      <c r="E7" s="141"/>
      <c r="F7" s="141"/>
      <c r="G7" s="141"/>
      <c r="H7" s="141"/>
      <c r="I7" s="141"/>
      <c r="J7" s="141"/>
      <c r="K7" s="141"/>
      <c r="L7" s="141"/>
      <c r="M7" s="141"/>
      <c r="N7" s="141"/>
      <c r="O7" s="141"/>
    </row>
    <row r="8" spans="1:16" ht="15.6" customHeight="1" x14ac:dyDescent="0.25">
      <c r="B8" s="210" t="s">
        <v>186</v>
      </c>
      <c r="C8" s="211"/>
      <c r="D8" s="211"/>
      <c r="E8" s="211"/>
      <c r="F8" s="211"/>
      <c r="G8" s="211"/>
      <c r="H8" s="211"/>
      <c r="I8" s="211"/>
      <c r="J8" s="211"/>
      <c r="K8" s="211"/>
      <c r="L8" s="211"/>
      <c r="M8" s="211"/>
      <c r="N8" s="211"/>
      <c r="O8" s="141"/>
    </row>
    <row r="9" spans="1:16" ht="15.6" customHeight="1" x14ac:dyDescent="0.25">
      <c r="B9" s="211"/>
      <c r="C9" s="211"/>
      <c r="D9" s="211"/>
      <c r="E9" s="211"/>
      <c r="F9" s="211"/>
      <c r="G9" s="211"/>
      <c r="H9" s="211"/>
      <c r="I9" s="211"/>
      <c r="J9" s="211"/>
      <c r="K9" s="211"/>
      <c r="L9" s="211"/>
      <c r="M9" s="211"/>
      <c r="N9" s="211"/>
      <c r="O9" s="141"/>
    </row>
    <row r="10" spans="1:16" ht="15.75" x14ac:dyDescent="0.25">
      <c r="B10" s="141"/>
      <c r="C10" s="141"/>
      <c r="D10" s="141"/>
      <c r="E10" s="141"/>
      <c r="F10" s="141"/>
      <c r="G10" s="141"/>
      <c r="H10" s="141"/>
      <c r="I10" s="141"/>
      <c r="J10" s="141"/>
      <c r="K10" s="141"/>
      <c r="L10" s="141"/>
      <c r="M10" s="141"/>
      <c r="N10" s="141"/>
      <c r="O10" s="141"/>
    </row>
    <row r="11" spans="1:16" x14ac:dyDescent="0.25">
      <c r="B11" s="205" t="s">
        <v>116</v>
      </c>
      <c r="C11" s="205"/>
      <c r="D11" s="205"/>
      <c r="E11" s="205"/>
      <c r="F11" s="205"/>
    </row>
    <row r="12" spans="1:16" x14ac:dyDescent="0.25">
      <c r="B12" s="197" t="s">
        <v>187</v>
      </c>
    </row>
    <row r="13" spans="1:16" x14ac:dyDescent="0.25">
      <c r="B13" s="198" t="s">
        <v>188</v>
      </c>
    </row>
    <row r="14" spans="1:16" x14ac:dyDescent="0.25">
      <c r="B14" s="50" t="s">
        <v>144</v>
      </c>
    </row>
    <row r="15" spans="1:16" x14ac:dyDescent="0.25"/>
    <row r="16" spans="1:16" x14ac:dyDescent="0.25">
      <c r="B16" s="142" t="s">
        <v>177</v>
      </c>
      <c r="C16" s="6" t="s">
        <v>139</v>
      </c>
    </row>
    <row r="17" spans="1:16" x14ac:dyDescent="0.25"/>
    <row r="18" spans="1:16" x14ac:dyDescent="0.25">
      <c r="B18" s="142" t="s">
        <v>178</v>
      </c>
      <c r="E18" s="6" t="s">
        <v>156</v>
      </c>
    </row>
    <row r="19" spans="1:16" x14ac:dyDescent="0.25">
      <c r="B19" s="196" t="s">
        <v>176</v>
      </c>
      <c r="C19" s="197"/>
      <c r="D19" s="197"/>
      <c r="E19" s="197" t="s">
        <v>175</v>
      </c>
      <c r="F19" s="197"/>
    </row>
    <row r="20" spans="1:16" x14ac:dyDescent="0.25"/>
    <row r="21" spans="1:16" ht="17.25" customHeight="1" x14ac:dyDescent="0.25">
      <c r="A21" s="158"/>
      <c r="B21" s="204" t="s">
        <v>189</v>
      </c>
      <c r="C21" s="204"/>
      <c r="D21" s="204"/>
      <c r="E21" s="204"/>
      <c r="F21" s="204"/>
      <c r="G21" s="204"/>
      <c r="H21" s="204"/>
      <c r="I21" s="204"/>
      <c r="J21" s="204"/>
      <c r="K21" s="204"/>
      <c r="L21" s="204"/>
      <c r="M21" s="204"/>
      <c r="N21" s="204"/>
      <c r="O21" s="204"/>
      <c r="P21" s="158"/>
    </row>
    <row r="22" spans="1:16" ht="17.25" customHeight="1" x14ac:dyDescent="0.25">
      <c r="A22" s="158"/>
      <c r="B22" s="204"/>
      <c r="C22" s="204"/>
      <c r="D22" s="204"/>
      <c r="E22" s="204"/>
      <c r="F22" s="204"/>
      <c r="G22" s="204"/>
      <c r="H22" s="204"/>
      <c r="I22" s="204"/>
      <c r="J22" s="204"/>
      <c r="K22" s="204"/>
      <c r="L22" s="204"/>
      <c r="M22" s="204"/>
      <c r="N22" s="204"/>
      <c r="O22" s="204"/>
      <c r="P22" s="158"/>
    </row>
    <row r="23" spans="1:16" ht="17.25" customHeight="1" x14ac:dyDescent="0.25">
      <c r="A23" s="158"/>
      <c r="B23" s="204"/>
      <c r="C23" s="204"/>
      <c r="D23" s="204"/>
      <c r="E23" s="204"/>
      <c r="F23" s="204"/>
      <c r="G23" s="204"/>
      <c r="H23" s="204"/>
      <c r="I23" s="204"/>
      <c r="J23" s="204"/>
      <c r="K23" s="204"/>
      <c r="L23" s="204"/>
      <c r="M23" s="204"/>
      <c r="N23" s="204"/>
      <c r="O23" s="204"/>
      <c r="P23" s="158"/>
    </row>
    <row r="24" spans="1:16" ht="17.25" customHeight="1" x14ac:dyDescent="0.25">
      <c r="A24" s="158"/>
      <c r="B24" s="204"/>
      <c r="C24" s="204"/>
      <c r="D24" s="204"/>
      <c r="E24" s="204"/>
      <c r="F24" s="204"/>
      <c r="G24" s="204"/>
      <c r="H24" s="204"/>
      <c r="I24" s="204"/>
      <c r="J24" s="204"/>
      <c r="K24" s="204"/>
      <c r="L24" s="204"/>
      <c r="M24" s="204"/>
      <c r="N24" s="204"/>
      <c r="O24" s="204"/>
      <c r="P24" s="158"/>
    </row>
    <row r="25" spans="1:16" ht="17.25" customHeight="1" x14ac:dyDescent="0.25">
      <c r="A25" s="158"/>
      <c r="B25" s="204"/>
      <c r="C25" s="204"/>
      <c r="D25" s="204"/>
      <c r="E25" s="204"/>
      <c r="F25" s="204"/>
      <c r="G25" s="204"/>
      <c r="H25" s="204"/>
      <c r="I25" s="204"/>
      <c r="J25" s="204"/>
      <c r="K25" s="204"/>
      <c r="L25" s="204"/>
      <c r="M25" s="204"/>
      <c r="N25" s="204"/>
      <c r="O25" s="204"/>
      <c r="P25" s="158"/>
    </row>
    <row r="26" spans="1:16" ht="17.25" customHeight="1" x14ac:dyDescent="0.25">
      <c r="A26" s="158"/>
      <c r="B26" s="204"/>
      <c r="C26" s="204"/>
      <c r="D26" s="204"/>
      <c r="E26" s="204"/>
      <c r="F26" s="204"/>
      <c r="G26" s="204"/>
      <c r="H26" s="204"/>
      <c r="I26" s="204"/>
      <c r="J26" s="204"/>
      <c r="K26" s="204"/>
      <c r="L26" s="204"/>
      <c r="M26" s="204"/>
      <c r="N26" s="204"/>
      <c r="O26" s="204"/>
      <c r="P26" s="158"/>
    </row>
    <row r="27" spans="1:16" ht="17.25" customHeight="1" x14ac:dyDescent="0.25">
      <c r="A27" s="158"/>
      <c r="B27" s="204"/>
      <c r="C27" s="204"/>
      <c r="D27" s="204"/>
      <c r="E27" s="204"/>
      <c r="F27" s="204"/>
      <c r="G27" s="204"/>
      <c r="H27" s="204"/>
      <c r="I27" s="204"/>
      <c r="J27" s="204"/>
      <c r="K27" s="204"/>
      <c r="L27" s="204"/>
      <c r="M27" s="204"/>
      <c r="N27" s="204"/>
      <c r="O27" s="204"/>
      <c r="P27" s="158"/>
    </row>
    <row r="28" spans="1:16" x14ac:dyDescent="0.25"/>
    <row r="29" spans="1:16" x14ac:dyDescent="0.25"/>
    <row r="30" spans="1:16" x14ac:dyDescent="0.25"/>
    <row r="31" spans="1:16" x14ac:dyDescent="0.25"/>
    <row r="32" spans="1:16" x14ac:dyDescent="0.25"/>
    <row r="33" x14ac:dyDescent="0.25"/>
    <row r="34" x14ac:dyDescent="0.25"/>
    <row r="35" x14ac:dyDescent="0.25"/>
  </sheetData>
  <sheetProtection algorithmName="SHA-512" hashValue="XIlTTvQPAWqcUG6PcVv1x4ex5LQ+Qvd5UM7JI/jAGzFF6vopYpmK2RLI/d86dMwKjcNmamTdcTTLafjFKYBpAg==" saltValue="gEnRxN8FHicHiDI4PCyIrQ==" spinCount="100000" sheet="1" objects="1" scenarios="1"/>
  <mergeCells count="7">
    <mergeCell ref="B21:O27"/>
    <mergeCell ref="B11:F11"/>
    <mergeCell ref="M2:O3"/>
    <mergeCell ref="P2:P3"/>
    <mergeCell ref="A2:L3"/>
    <mergeCell ref="B4:M5"/>
    <mergeCell ref="B8:N9"/>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Y181"/>
  <sheetViews>
    <sheetView zoomScale="72" zoomScaleNormal="55" workbookViewId="0">
      <selection activeCell="I70" sqref="I70"/>
    </sheetView>
  </sheetViews>
  <sheetFormatPr defaultColWidth="0" defaultRowHeight="15" zeroHeight="1" x14ac:dyDescent="0.25"/>
  <cols>
    <col min="1" max="1" width="1.85546875" style="6" customWidth="1"/>
    <col min="2" max="2" width="33.28515625" style="6" customWidth="1"/>
    <col min="3" max="3" width="27.28515625" style="6" customWidth="1"/>
    <col min="4" max="4" width="17.7109375" style="6" customWidth="1"/>
    <col min="5" max="5" width="15.5703125" style="6" customWidth="1"/>
    <col min="6" max="6" width="18.140625" style="6" customWidth="1"/>
    <col min="7" max="7" width="17" style="6" customWidth="1"/>
    <col min="8" max="8" width="11.7109375" style="6" customWidth="1"/>
    <col min="9" max="9" width="53" style="6" bestFit="1" customWidth="1"/>
    <col min="10" max="10" width="25" style="6" customWidth="1"/>
    <col min="11" max="11" width="16" style="6" customWidth="1"/>
    <col min="12" max="12" width="17.7109375" style="6" customWidth="1"/>
    <col min="13" max="13" width="21" style="6" customWidth="1"/>
    <col min="14" max="14" width="20.7109375" style="6" customWidth="1"/>
    <col min="15" max="15" width="23.140625" style="6" customWidth="1"/>
    <col min="16" max="16" width="14.140625" style="6" customWidth="1"/>
    <col min="17" max="17" width="18.85546875" style="6" customWidth="1"/>
    <col min="18" max="18" width="23.140625" style="6" customWidth="1"/>
    <col min="19" max="19" width="15.7109375" style="6" bestFit="1" customWidth="1"/>
    <col min="20" max="20" width="21.42578125" style="6" customWidth="1"/>
    <col min="21" max="21" width="14.42578125" style="6" bestFit="1" customWidth="1"/>
    <col min="22" max="23" width="14.42578125" style="6" customWidth="1"/>
    <col min="24" max="24" width="12.5703125" style="6" bestFit="1" customWidth="1"/>
    <col min="25" max="25" width="0" style="6" hidden="1" customWidth="1"/>
    <col min="26" max="16384" width="9.140625" style="6" hidden="1"/>
  </cols>
  <sheetData>
    <row r="1" spans="1:24" x14ac:dyDescent="0.25">
      <c r="A1" s="78"/>
      <c r="B1" s="78"/>
      <c r="C1" s="78"/>
      <c r="D1" s="78"/>
      <c r="E1" s="78"/>
      <c r="F1" s="78"/>
      <c r="G1" s="78"/>
      <c r="H1" s="78"/>
      <c r="I1" s="78"/>
      <c r="J1" s="78"/>
      <c r="K1" s="78"/>
      <c r="L1" s="78"/>
      <c r="M1" s="78"/>
      <c r="N1" s="78"/>
      <c r="O1" s="78"/>
      <c r="P1" s="78"/>
      <c r="Q1" s="78"/>
      <c r="R1" s="78"/>
      <c r="S1" s="78"/>
      <c r="T1" s="78"/>
      <c r="U1" s="78"/>
      <c r="V1" s="78"/>
      <c r="W1" s="78"/>
      <c r="X1" s="78"/>
    </row>
    <row r="2" spans="1:24" ht="26.25" x14ac:dyDescent="0.25">
      <c r="A2" s="78"/>
      <c r="B2" s="246" t="s">
        <v>138</v>
      </c>
      <c r="C2" s="246"/>
      <c r="D2" s="246"/>
      <c r="E2" s="78"/>
      <c r="F2" s="78"/>
      <c r="G2" s="78"/>
      <c r="H2" s="78"/>
      <c r="I2" s="78"/>
      <c r="J2" s="78"/>
      <c r="K2" s="78"/>
      <c r="L2" s="78"/>
      <c r="M2" s="78"/>
      <c r="N2" s="78"/>
      <c r="O2" s="78"/>
      <c r="P2" s="78"/>
      <c r="Q2" s="78"/>
      <c r="R2" s="78"/>
      <c r="S2" s="78"/>
      <c r="T2" s="78"/>
      <c r="U2" s="78"/>
      <c r="V2" s="78"/>
      <c r="W2" s="78"/>
      <c r="X2" s="78"/>
    </row>
    <row r="3" spans="1:24" ht="21" customHeight="1" x14ac:dyDescent="0.25">
      <c r="A3" s="78"/>
      <c r="B3" s="245" t="s">
        <v>181</v>
      </c>
      <c r="C3" s="245"/>
      <c r="D3" s="245"/>
      <c r="E3" s="78"/>
      <c r="F3" s="78"/>
      <c r="G3" s="78"/>
      <c r="H3" s="78"/>
      <c r="I3" s="78"/>
      <c r="J3" s="78"/>
      <c r="K3" s="78"/>
      <c r="L3" s="78"/>
      <c r="M3" s="78"/>
      <c r="N3" s="78"/>
      <c r="O3" s="78"/>
      <c r="P3" s="78"/>
      <c r="Q3" s="78"/>
      <c r="R3" s="78"/>
      <c r="S3" s="78"/>
      <c r="T3" s="78"/>
      <c r="U3" s="78"/>
      <c r="V3" s="78"/>
      <c r="W3" s="78"/>
      <c r="X3" s="78"/>
    </row>
    <row r="4" spans="1:24" ht="26.25" customHeight="1" x14ac:dyDescent="0.25">
      <c r="A4" s="78"/>
      <c r="B4" s="245"/>
      <c r="C4" s="245"/>
      <c r="D4" s="245"/>
      <c r="E4" s="78"/>
      <c r="F4" s="78"/>
      <c r="G4" s="78"/>
      <c r="H4" s="78"/>
      <c r="I4" s="78"/>
      <c r="J4" s="78"/>
      <c r="K4" s="78"/>
      <c r="L4" s="78"/>
      <c r="M4" s="78"/>
      <c r="N4" s="78"/>
      <c r="O4" s="78"/>
      <c r="P4" s="78"/>
      <c r="Q4" s="78"/>
      <c r="R4" s="78"/>
      <c r="S4" s="78"/>
      <c r="T4" s="78"/>
      <c r="U4" s="78"/>
      <c r="V4" s="78"/>
      <c r="W4" s="78"/>
      <c r="X4" s="78"/>
    </row>
    <row r="5" spans="1:24" ht="26.1" customHeight="1" x14ac:dyDescent="0.25">
      <c r="A5" s="78"/>
      <c r="B5" s="245"/>
      <c r="C5" s="245"/>
      <c r="D5" s="245"/>
      <c r="E5" s="78"/>
      <c r="F5" s="78"/>
      <c r="G5" s="78"/>
      <c r="H5" s="78"/>
      <c r="I5" s="78"/>
      <c r="J5" s="78"/>
      <c r="K5" s="78"/>
      <c r="L5" s="78"/>
      <c r="M5" s="78"/>
      <c r="N5" s="78"/>
      <c r="O5" s="78"/>
      <c r="P5" s="78"/>
      <c r="Q5" s="78"/>
      <c r="R5" s="78"/>
      <c r="S5" s="78"/>
      <c r="T5" s="78"/>
      <c r="U5" s="78"/>
      <c r="V5" s="78"/>
      <c r="W5" s="78"/>
      <c r="X5" s="78"/>
    </row>
    <row r="6" spans="1:24" ht="26.25" x14ac:dyDescent="0.4">
      <c r="A6" s="78"/>
      <c r="B6" s="84"/>
      <c r="C6" s="85"/>
      <c r="D6" s="86"/>
      <c r="E6" s="78"/>
      <c r="F6" s="78"/>
      <c r="G6" s="78"/>
      <c r="H6" s="78"/>
      <c r="I6" s="78"/>
      <c r="J6" s="78"/>
      <c r="K6" s="78"/>
      <c r="L6" s="78"/>
      <c r="M6" s="78"/>
      <c r="N6" s="78"/>
      <c r="O6" s="78"/>
      <c r="P6" s="78"/>
      <c r="Q6" s="78"/>
      <c r="R6" s="78"/>
      <c r="S6" s="78"/>
      <c r="T6" s="78"/>
      <c r="U6" s="78"/>
      <c r="V6" s="78"/>
      <c r="W6" s="78"/>
      <c r="X6" s="78"/>
    </row>
    <row r="7" spans="1:24" ht="21" customHeight="1" x14ac:dyDescent="0.25">
      <c r="B7" s="271" t="s">
        <v>190</v>
      </c>
      <c r="C7" s="271"/>
      <c r="D7" s="271"/>
    </row>
    <row r="8" spans="1:24" ht="20.100000000000001" customHeight="1" x14ac:dyDescent="0.25">
      <c r="A8" s="7"/>
      <c r="B8" s="271"/>
      <c r="C8" s="271"/>
      <c r="D8" s="271"/>
    </row>
    <row r="9" spans="1:24" ht="83.1" customHeight="1" x14ac:dyDescent="0.25">
      <c r="B9" s="244" t="s">
        <v>191</v>
      </c>
      <c r="C9" s="244"/>
      <c r="D9" s="244"/>
      <c r="E9" s="244"/>
      <c r="F9" s="244"/>
      <c r="G9" s="244"/>
      <c r="H9" s="244"/>
      <c r="I9" s="244"/>
    </row>
    <row r="10" spans="1:24" ht="20.100000000000001" customHeight="1" x14ac:dyDescent="0.35">
      <c r="B10" s="51"/>
      <c r="C10" s="12"/>
    </row>
    <row r="11" spans="1:24" ht="23.45" customHeight="1" x14ac:dyDescent="0.35">
      <c r="B11" s="237" t="s">
        <v>112</v>
      </c>
      <c r="C11" s="237"/>
      <c r="D11" s="41"/>
      <c r="E11" s="41"/>
      <c r="H11" s="148"/>
    </row>
    <row r="12" spans="1:24" ht="21.6" customHeight="1" x14ac:dyDescent="0.35">
      <c r="B12" s="105" t="s">
        <v>117</v>
      </c>
      <c r="C12" s="103"/>
      <c r="D12" s="104"/>
    </row>
    <row r="13" spans="1:24" ht="21.6" customHeight="1" x14ac:dyDescent="0.35">
      <c r="B13" s="105"/>
      <c r="C13" s="103"/>
      <c r="D13" s="104"/>
    </row>
    <row r="14" spans="1:24" ht="21.6" customHeight="1" thickBot="1" x14ac:dyDescent="0.4">
      <c r="B14" s="65"/>
      <c r="C14" s="66"/>
    </row>
    <row r="15" spans="1:24" s="67" customFormat="1" ht="51.75" customHeight="1" thickBot="1" x14ac:dyDescent="0.4">
      <c r="B15" s="272" t="s">
        <v>0</v>
      </c>
      <c r="C15" s="214" t="s">
        <v>57</v>
      </c>
      <c r="D15" s="213" t="s">
        <v>31</v>
      </c>
      <c r="E15" s="214"/>
      <c r="F15" s="169"/>
      <c r="G15" s="170"/>
      <c r="J15" s="151" t="s">
        <v>108</v>
      </c>
      <c r="K15" s="87" t="s">
        <v>109</v>
      </c>
      <c r="L15" s="87" t="s">
        <v>110</v>
      </c>
      <c r="M15" s="87" t="s">
        <v>111</v>
      </c>
      <c r="N15" s="87" t="s">
        <v>130</v>
      </c>
      <c r="O15" s="87" t="s">
        <v>96</v>
      </c>
      <c r="P15" s="87" t="s">
        <v>26</v>
      </c>
      <c r="Q15" s="87" t="s">
        <v>131</v>
      </c>
      <c r="R15" s="87" t="s">
        <v>132</v>
      </c>
      <c r="S15" s="87" t="s">
        <v>133</v>
      </c>
      <c r="T15" s="88"/>
      <c r="U15" s="88" t="s">
        <v>137</v>
      </c>
      <c r="V15" s="87" t="s">
        <v>29</v>
      </c>
      <c r="W15" s="89" t="s">
        <v>30</v>
      </c>
    </row>
    <row r="16" spans="1:24" s="67" customFormat="1" ht="31.5" x14ac:dyDescent="0.35">
      <c r="B16" s="273"/>
      <c r="C16" s="274"/>
      <c r="D16" s="90" t="s">
        <v>28</v>
      </c>
      <c r="E16" s="92" t="s">
        <v>3</v>
      </c>
      <c r="F16" s="167"/>
      <c r="G16" s="167"/>
      <c r="J16" s="90" t="s">
        <v>46</v>
      </c>
      <c r="K16" s="91" t="s">
        <v>47</v>
      </c>
      <c r="L16" s="91" t="s">
        <v>48</v>
      </c>
      <c r="M16" s="91" t="s">
        <v>49</v>
      </c>
      <c r="N16" s="91" t="s">
        <v>25</v>
      </c>
      <c r="O16" s="91" t="s">
        <v>15</v>
      </c>
      <c r="P16" s="91" t="s">
        <v>27</v>
      </c>
      <c r="Q16" s="91" t="s">
        <v>43</v>
      </c>
      <c r="R16" s="91" t="s">
        <v>44</v>
      </c>
      <c r="S16" s="91" t="s">
        <v>3</v>
      </c>
      <c r="T16" s="91" t="s">
        <v>35</v>
      </c>
      <c r="U16" s="91" t="s">
        <v>36</v>
      </c>
      <c r="V16" s="91" t="s">
        <v>37</v>
      </c>
      <c r="W16" s="92" t="s">
        <v>38</v>
      </c>
    </row>
    <row r="17" spans="2:23" ht="15.75" x14ac:dyDescent="0.25">
      <c r="B17" s="69"/>
      <c r="C17" s="70"/>
      <c r="D17" s="93" t="str">
        <f>IF(ISBLANK($B17),"",IF(ISERROR(VLOOKUP($B17,'2 Feedstock database'!$B$16:$N$29,2,FALSE)),"",VLOOKUP($B17,'2 Feedstock database'!$B$16:$N$29,2,FALSE)))</f>
        <v/>
      </c>
      <c r="E17" s="94" t="str">
        <f>IF(ISBLANK($B17),"",IF(ISERROR(VLOOKUP($B17,'2 Feedstock database'!$B$16:$N$29,3,FALSE)),"",VLOOKUP($B17,'2 Feedstock database'!$B$16:$N$29,3,FALSE)))</f>
        <v/>
      </c>
      <c r="F17" s="168"/>
      <c r="G17" s="171"/>
      <c r="J17" s="152" t="str">
        <f>IF(ISBLANK($B17),"",IF(ISERROR(VLOOKUP($B17,'2 Feedstock database'!$B$16:$N$29,6,FALSE)),"",VLOOKUP($B17,'2 Feedstock database'!$B$16:$N$29,6,FALSE)))</f>
        <v/>
      </c>
      <c r="K17" s="95" t="str">
        <f>IF(ISBLANK($B17),"",IF(ISERROR(VLOOKUP($B17,'2 Feedstock database'!$B$16:$N$29,7,FALSE)),"",VLOOKUP($B17,'2 Feedstock database'!$B$16:$N$29,7,FALSE)))</f>
        <v/>
      </c>
      <c r="L17" s="95" t="str">
        <f>IF(ISBLANK($B17),"",IF(ISERROR(VLOOKUP($B17,'2 Feedstock database'!$B$16:$N$29,8,FALSE)),"",VLOOKUP($B17,'2 Feedstock database'!$B$16:$N$29,8,FALSE)))</f>
        <v/>
      </c>
      <c r="M17" s="95" t="str">
        <f>IF(ISBLANK($B17),"",IF(ISERROR(VLOOKUP($B17,'2 Feedstock database'!$B$16:$N$29,9,FALSE)),"",VLOOKUP($B17,'2 Feedstock database'!$B$16:$N$29,9,FALSE)))</f>
        <v/>
      </c>
      <c r="N17" s="95" t="str">
        <f t="shared" ref="N17:N27" si="0">IF(ISERROR(C17*K17*L17),"",C17*K17*L17)</f>
        <v/>
      </c>
      <c r="O17" s="95" t="str">
        <f>IF(ISBLANK($B17),"",IF(ISERROR(VLOOKUP($B17,'2 Feedstock database'!$B$16:$N$29,10,FALSE)),"",VLOOKUP($B17,'2 Feedstock database'!$B$16:$N$29,10,FALSE)))</f>
        <v/>
      </c>
      <c r="P17" s="96" t="str">
        <f>IF(ISERROR(N17*O17),"",N17*O17)</f>
        <v/>
      </c>
      <c r="Q17" s="95" t="str">
        <f>IF(ISBLANK($B17),"",IF(ISERROR(VLOOKUP($B17,'2 Feedstock database'!$B$16:$N$29,11,FALSE)),"",VLOOKUP($B17,'2 Feedstock database'!$B$16:$N$29,11,FALSE)))</f>
        <v/>
      </c>
      <c r="R17" s="95" t="str">
        <f>IF(ISBLANK($B17),"",IF(ISERROR(VLOOKUP($B17,'2 Feedstock database'!$B$16:$N$29,12,FALSE)),"",VLOOKUP($B17,'2 Feedstock database'!$B$16:$N$29,12,FALSE)))</f>
        <v/>
      </c>
      <c r="S17" s="95" t="str">
        <f>IF(ISBLANK($B17),"",IF(ISERROR(VLOOKUP($B17,'2 Feedstock database'!$B$16:$N$29,13,FALSE)),"",VLOOKUP($B17,'2 Feedstock database'!$B$16:$N$29,13,FALSE)))</f>
        <v/>
      </c>
      <c r="T17" s="96" t="str">
        <f t="shared" ref="T17:T27" si="1">IF(ISERROR(C17*J17),"",C17*J17)</f>
        <v/>
      </c>
      <c r="U17" s="96" t="str">
        <f t="shared" ref="U17:U27" si="2">IF(ISERROR(C17*K17),"",C17*K17)</f>
        <v/>
      </c>
      <c r="V17" s="96" t="str">
        <f>IF(ISERROR(U17*Q17),"",U17*Q17)</f>
        <v/>
      </c>
      <c r="W17" s="97" t="str">
        <f>IF(ISERROR(U17*R17),"",U17*R17)</f>
        <v/>
      </c>
    </row>
    <row r="18" spans="2:23" ht="15.75" x14ac:dyDescent="0.25">
      <c r="B18" s="69"/>
      <c r="C18" s="70"/>
      <c r="D18" s="93" t="str">
        <f>IF(ISBLANK($B18),"",IF(ISERROR(VLOOKUP($B18,'2 Feedstock database'!$B$16:$N$29,2,FALSE)),"",VLOOKUP($B18,'2 Feedstock database'!$B$16:$N$29,2,FALSE)))</f>
        <v/>
      </c>
      <c r="E18" s="94" t="str">
        <f>IF(ISBLANK($B18),"",IF(ISERROR(VLOOKUP($B18,'2 Feedstock database'!$B$16:$N$29,3,FALSE)),"",VLOOKUP($B18,'2 Feedstock database'!$B$16:$N$29,3,FALSE)))</f>
        <v/>
      </c>
      <c r="F18" s="168"/>
      <c r="G18" s="171"/>
      <c r="J18" s="152" t="str">
        <f>IF(ISBLANK($B18),"",IF(ISERROR(VLOOKUP($B18,'2 Feedstock database'!$B$16:$N$29,6,FALSE)),"",VLOOKUP($B18,'2 Feedstock database'!$B$16:$N$29,6,FALSE)))</f>
        <v/>
      </c>
      <c r="K18" s="95" t="str">
        <f>IF(ISBLANK($B18),"",IF(ISERROR(VLOOKUP($B18,'2 Feedstock database'!$B$16:$N$29,7,FALSE)),"",VLOOKUP($B18,'2 Feedstock database'!$B$16:$N$29,7,FALSE)))</f>
        <v/>
      </c>
      <c r="L18" s="95" t="str">
        <f>IF(ISBLANK($B18),"",IF(ISERROR(VLOOKUP($B18,'2 Feedstock database'!$B$16:$N$29,8,FALSE)),"",VLOOKUP($B18,'2 Feedstock database'!$B$16:$N$29,8,FALSE)))</f>
        <v/>
      </c>
      <c r="M18" s="95" t="str">
        <f>IF(ISBLANK($B18),"",IF(ISERROR(VLOOKUP($B18,'2 Feedstock database'!$B$16:$N$29,9,FALSE)),"",VLOOKUP($B18,'2 Feedstock database'!$B$16:$N$29,9,FALSE)))</f>
        <v/>
      </c>
      <c r="N18" s="95" t="str">
        <f t="shared" si="0"/>
        <v/>
      </c>
      <c r="O18" s="95" t="str">
        <f>IF(ISBLANK($B18),"",IF(ISERROR(VLOOKUP($B18,'2 Feedstock database'!$B$16:$N$29,10,FALSE)),"",VLOOKUP($B18,'2 Feedstock database'!$B$16:$N$29,10,FALSE)))</f>
        <v/>
      </c>
      <c r="P18" s="96" t="str">
        <f t="shared" ref="P18:P27" si="3">IF(ISERROR(N18*O18),"",N18*O18)</f>
        <v/>
      </c>
      <c r="Q18" s="95" t="str">
        <f>IF(ISBLANK($B18),"",IF(ISERROR(VLOOKUP($B18,'2 Feedstock database'!$B$16:$N$29,11,FALSE)),"",VLOOKUP($B18,'2 Feedstock database'!$B$16:$N$29,11,FALSE)))</f>
        <v/>
      </c>
      <c r="R18" s="95" t="str">
        <f>IF(ISBLANK($B18),"",IF(ISERROR(VLOOKUP($B18,'2 Feedstock database'!$B$16:$N$29,12,FALSE)),"",VLOOKUP($B18,'2 Feedstock database'!$B$16:$N$29,12,FALSE)))</f>
        <v/>
      </c>
      <c r="S18" s="95" t="str">
        <f>IF(ISBLANK($B18),"",IF(ISERROR(VLOOKUP($B18,'2 Feedstock database'!$B$16:$N$29,13,FALSE)),"",VLOOKUP($B18,'2 Feedstock database'!$B$16:$N$29,13,FALSE)))</f>
        <v/>
      </c>
      <c r="T18" s="96" t="str">
        <f t="shared" si="1"/>
        <v/>
      </c>
      <c r="U18" s="96" t="str">
        <f t="shared" si="2"/>
        <v/>
      </c>
      <c r="V18" s="96" t="str">
        <f t="shared" ref="V18:V27" si="4">IF(ISERROR(U18*Q18),"",U18*Q18)</f>
        <v/>
      </c>
      <c r="W18" s="97" t="str">
        <f t="shared" ref="W18:W27" si="5">IF(ISERROR(U18*R18),"",U18*R18)</f>
        <v/>
      </c>
    </row>
    <row r="19" spans="2:23" ht="15.75" x14ac:dyDescent="0.25">
      <c r="B19" s="69"/>
      <c r="C19" s="70"/>
      <c r="D19" s="93" t="str">
        <f>IF(ISBLANK($B19),"",IF(ISERROR(VLOOKUP($B19,'2 Feedstock database'!$B$16:$N$29,2,FALSE)),"",VLOOKUP($B19,'2 Feedstock database'!$B$16:$N$29,2,FALSE)))</f>
        <v/>
      </c>
      <c r="E19" s="94" t="str">
        <f>IF(ISBLANK($B19),"",IF(ISERROR(VLOOKUP($B19,'2 Feedstock database'!$B$16:$N$29,3,FALSE)),"",VLOOKUP($B19,'2 Feedstock database'!$B$16:$N$29,3,FALSE)))</f>
        <v/>
      </c>
      <c r="F19" s="168"/>
      <c r="G19" s="171"/>
      <c r="J19" s="152" t="str">
        <f>IF(ISBLANK($B19),"",IF(ISERROR(VLOOKUP($B19,'2 Feedstock database'!$B$16:$N$29,6,FALSE)),"",VLOOKUP($B19,'2 Feedstock database'!$B$16:$N$29,6,FALSE)))</f>
        <v/>
      </c>
      <c r="K19" s="95" t="str">
        <f>IF(ISBLANK($B19),"",IF(ISERROR(VLOOKUP($B19,'2 Feedstock database'!$B$16:$N$29,7,FALSE)),"",VLOOKUP($B19,'2 Feedstock database'!$B$16:$N$29,7,FALSE)))</f>
        <v/>
      </c>
      <c r="L19" s="95" t="str">
        <f>IF(ISBLANK($B19),"",IF(ISERROR(VLOOKUP($B19,'2 Feedstock database'!$B$16:$N$29,8,FALSE)),"",VLOOKUP($B19,'2 Feedstock database'!$B$16:$N$29,8,FALSE)))</f>
        <v/>
      </c>
      <c r="M19" s="95" t="str">
        <f>IF(ISBLANK($B19),"",IF(ISERROR(VLOOKUP($B19,'2 Feedstock database'!$B$16:$N$29,9,FALSE)),"",VLOOKUP($B19,'2 Feedstock database'!$B$16:$N$29,9,FALSE)))</f>
        <v/>
      </c>
      <c r="N19" s="95" t="str">
        <f t="shared" si="0"/>
        <v/>
      </c>
      <c r="O19" s="95" t="str">
        <f>IF(ISBLANK($B19),"",IF(ISERROR(VLOOKUP($B19,'2 Feedstock database'!$B$16:$N$29,10,FALSE)),"",VLOOKUP($B19,'2 Feedstock database'!$B$16:$N$29,10,FALSE)))</f>
        <v/>
      </c>
      <c r="P19" s="96" t="str">
        <f t="shared" si="3"/>
        <v/>
      </c>
      <c r="Q19" s="95" t="str">
        <f>IF(ISBLANK($B19),"",IF(ISERROR(VLOOKUP($B19,'2 Feedstock database'!$B$16:$N$29,11,FALSE)),"",VLOOKUP($B19,'2 Feedstock database'!$B$16:$N$29,11,FALSE)))</f>
        <v/>
      </c>
      <c r="R19" s="95" t="str">
        <f>IF(ISBLANK($B19),"",IF(ISERROR(VLOOKUP($B19,'2 Feedstock database'!$B$16:$N$29,12,FALSE)),"",VLOOKUP($B19,'2 Feedstock database'!$B$16:$N$29,12,FALSE)))</f>
        <v/>
      </c>
      <c r="S19" s="95" t="str">
        <f>IF(ISBLANK($B19),"",IF(ISERROR(VLOOKUP($B19,'2 Feedstock database'!$B$16:$N$29,13,FALSE)),"",VLOOKUP($B19,'2 Feedstock database'!$B$16:$N$29,13,FALSE)))</f>
        <v/>
      </c>
      <c r="T19" s="96" t="str">
        <f t="shared" si="1"/>
        <v/>
      </c>
      <c r="U19" s="96" t="str">
        <f t="shared" si="2"/>
        <v/>
      </c>
      <c r="V19" s="96" t="str">
        <f t="shared" si="4"/>
        <v/>
      </c>
      <c r="W19" s="97" t="str">
        <f t="shared" si="5"/>
        <v/>
      </c>
    </row>
    <row r="20" spans="2:23" ht="15.75" x14ac:dyDescent="0.25">
      <c r="B20" s="69"/>
      <c r="C20" s="70"/>
      <c r="D20" s="93" t="str">
        <f>IF(ISBLANK($B20),"",IF(ISERROR(VLOOKUP($B20,'2 Feedstock database'!$B$16:$N$29,2,FALSE)),"",VLOOKUP($B20,'2 Feedstock database'!$B$16:$N$29,2,FALSE)))</f>
        <v/>
      </c>
      <c r="E20" s="94" t="str">
        <f>IF(ISBLANK($B20),"",IF(ISERROR(VLOOKUP($B20,'2 Feedstock database'!$B$16:$N$29,3,FALSE)),"",VLOOKUP($B20,'2 Feedstock database'!$B$16:$N$29,3,FALSE)))</f>
        <v/>
      </c>
      <c r="F20" s="168"/>
      <c r="G20" s="171"/>
      <c r="J20" s="152" t="str">
        <f>IF(ISBLANK($B20),"",IF(ISERROR(VLOOKUP($B20,'2 Feedstock database'!$B$16:$N$29,6,FALSE)),"",VLOOKUP($B20,'2 Feedstock database'!$B$16:$N$29,6,FALSE)))</f>
        <v/>
      </c>
      <c r="K20" s="95" t="str">
        <f>IF(ISBLANK($B20),"",IF(ISERROR(VLOOKUP($B20,'2 Feedstock database'!$B$16:$N$29,7,FALSE)),"",VLOOKUP($B20,'2 Feedstock database'!$B$16:$N$29,7,FALSE)))</f>
        <v/>
      </c>
      <c r="L20" s="95" t="str">
        <f>IF(ISBLANK($B20),"",IF(ISERROR(VLOOKUP($B20,'2 Feedstock database'!$B$16:$N$29,8,FALSE)),"",VLOOKUP($B20,'2 Feedstock database'!$B$16:$N$29,8,FALSE)))</f>
        <v/>
      </c>
      <c r="M20" s="95" t="str">
        <f>IF(ISBLANK($B20),"",IF(ISERROR(VLOOKUP($B20,'2 Feedstock database'!$B$16:$N$29,9,FALSE)),"",VLOOKUP($B20,'2 Feedstock database'!$B$16:$N$29,9,FALSE)))</f>
        <v/>
      </c>
      <c r="N20" s="95" t="str">
        <f t="shared" si="0"/>
        <v/>
      </c>
      <c r="O20" s="95" t="str">
        <f>IF(ISBLANK($B20),"",IF(ISERROR(VLOOKUP($B20,'2 Feedstock database'!$B$16:$N$29,10,FALSE)),"",VLOOKUP($B20,'2 Feedstock database'!$B$16:$N$29,10,FALSE)))</f>
        <v/>
      </c>
      <c r="P20" s="96" t="str">
        <f t="shared" si="3"/>
        <v/>
      </c>
      <c r="Q20" s="95" t="str">
        <f>IF(ISBLANK($B20),"",IF(ISERROR(VLOOKUP($B20,'2 Feedstock database'!$B$16:$N$29,11,FALSE)),"",VLOOKUP($B20,'2 Feedstock database'!$B$16:$N$29,11,FALSE)))</f>
        <v/>
      </c>
      <c r="R20" s="95" t="str">
        <f>IF(ISBLANK($B20),"",IF(ISERROR(VLOOKUP($B20,'2 Feedstock database'!$B$16:$N$29,12,FALSE)),"",VLOOKUP($B20,'2 Feedstock database'!$B$16:$N$29,12,FALSE)))</f>
        <v/>
      </c>
      <c r="S20" s="95" t="str">
        <f>IF(ISBLANK($B20),"",IF(ISERROR(VLOOKUP($B20,'2 Feedstock database'!$B$16:$N$29,13,FALSE)),"",VLOOKUP($B20,'2 Feedstock database'!$B$16:$N$29,13,FALSE)))</f>
        <v/>
      </c>
      <c r="T20" s="96" t="str">
        <f t="shared" si="1"/>
        <v/>
      </c>
      <c r="U20" s="96" t="str">
        <f t="shared" si="2"/>
        <v/>
      </c>
      <c r="V20" s="96" t="str">
        <f t="shared" si="4"/>
        <v/>
      </c>
      <c r="W20" s="97" t="str">
        <f t="shared" si="5"/>
        <v/>
      </c>
    </row>
    <row r="21" spans="2:23" ht="15.75" x14ac:dyDescent="0.25">
      <c r="B21" s="69"/>
      <c r="C21" s="70"/>
      <c r="D21" s="93" t="str">
        <f>IF(ISBLANK($B21),"",IF(ISERROR(VLOOKUP($B21,'2 Feedstock database'!$B$16:$N$29,2,FALSE)),"",VLOOKUP($B21,'2 Feedstock database'!$B$16:$N$29,2,FALSE)))</f>
        <v/>
      </c>
      <c r="E21" s="94" t="str">
        <f>IF(ISBLANK($B21),"",IF(ISERROR(VLOOKUP($B21,'2 Feedstock database'!$B$16:$N$29,3,FALSE)),"",VLOOKUP($B21,'2 Feedstock database'!$B$16:$N$29,3,FALSE)))</f>
        <v/>
      </c>
      <c r="F21" s="168"/>
      <c r="G21" s="171"/>
      <c r="J21" s="152" t="str">
        <f>IF(ISBLANK($B21),"",IF(ISERROR(VLOOKUP($B21,'2 Feedstock database'!$B$16:$N$29,6,FALSE)),"",VLOOKUP($B21,'2 Feedstock database'!$B$16:$N$29,6,FALSE)))</f>
        <v/>
      </c>
      <c r="K21" s="95" t="str">
        <f>IF(ISBLANK($B21),"",IF(ISERROR(VLOOKUP($B21,'2 Feedstock database'!$B$16:$N$29,7,FALSE)),"",VLOOKUP($B21,'2 Feedstock database'!$B$16:$N$29,7,FALSE)))</f>
        <v/>
      </c>
      <c r="L21" s="95" t="str">
        <f>IF(ISBLANK($B21),"",IF(ISERROR(VLOOKUP($B21,'2 Feedstock database'!$B$16:$N$29,8,FALSE)),"",VLOOKUP($B21,'2 Feedstock database'!$B$16:$N$29,8,FALSE)))</f>
        <v/>
      </c>
      <c r="M21" s="95" t="str">
        <f>IF(ISBLANK($B21),"",IF(ISERROR(VLOOKUP($B21,'2 Feedstock database'!$B$16:$N$29,9,FALSE)),"",VLOOKUP($B21,'2 Feedstock database'!$B$16:$N$29,9,FALSE)))</f>
        <v/>
      </c>
      <c r="N21" s="95" t="str">
        <f t="shared" si="0"/>
        <v/>
      </c>
      <c r="O21" s="95" t="str">
        <f>IF(ISBLANK($B21),"",IF(ISERROR(VLOOKUP($B21,'2 Feedstock database'!$B$16:$N$29,10,FALSE)),"",VLOOKUP($B21,'2 Feedstock database'!$B$16:$N$29,10,FALSE)))</f>
        <v/>
      </c>
      <c r="P21" s="96" t="str">
        <f t="shared" si="3"/>
        <v/>
      </c>
      <c r="Q21" s="95" t="str">
        <f>IF(ISBLANK($B21),"",IF(ISERROR(VLOOKUP($B21,'2 Feedstock database'!$B$16:$N$29,11,FALSE)),"",VLOOKUP($B21,'2 Feedstock database'!$B$16:$N$29,11,FALSE)))</f>
        <v/>
      </c>
      <c r="R21" s="95" t="str">
        <f>IF(ISBLANK($B21),"",IF(ISERROR(VLOOKUP($B21,'2 Feedstock database'!$B$16:$N$29,12,FALSE)),"",VLOOKUP($B21,'2 Feedstock database'!$B$16:$N$29,12,FALSE)))</f>
        <v/>
      </c>
      <c r="S21" s="95" t="str">
        <f>IF(ISBLANK($B21),"",IF(ISERROR(VLOOKUP($B21,'2 Feedstock database'!$B$16:$N$29,13,FALSE)),"",VLOOKUP($B21,'2 Feedstock database'!$B$16:$N$29,13,FALSE)))</f>
        <v/>
      </c>
      <c r="T21" s="96" t="str">
        <f t="shared" si="1"/>
        <v/>
      </c>
      <c r="U21" s="96" t="str">
        <f t="shared" si="2"/>
        <v/>
      </c>
      <c r="V21" s="96" t="str">
        <f t="shared" si="4"/>
        <v/>
      </c>
      <c r="W21" s="97" t="str">
        <f t="shared" si="5"/>
        <v/>
      </c>
    </row>
    <row r="22" spans="2:23" ht="15.75" x14ac:dyDescent="0.25">
      <c r="B22" s="69"/>
      <c r="C22" s="70"/>
      <c r="D22" s="93" t="str">
        <f>IF(ISBLANK($B22),"",IF(ISERROR(VLOOKUP($B22,'2 Feedstock database'!$B$16:$N$29,2,FALSE)),"",VLOOKUP($B22,'2 Feedstock database'!$B$16:$N$29,2,FALSE)))</f>
        <v/>
      </c>
      <c r="E22" s="94" t="str">
        <f>IF(ISBLANK($B22),"",IF(ISERROR(VLOOKUP($B22,'2 Feedstock database'!$B$16:$N$29,3,FALSE)),"",VLOOKUP($B22,'2 Feedstock database'!$B$16:$N$29,3,FALSE)))</f>
        <v/>
      </c>
      <c r="F22" s="168"/>
      <c r="G22" s="171"/>
      <c r="J22" s="152" t="str">
        <f>IF(ISBLANK($B22),"",IF(ISERROR(VLOOKUP($B22,'2 Feedstock database'!$B$16:$N$29,6,FALSE)),"",VLOOKUP($B22,'2 Feedstock database'!$B$16:$N$29,6,FALSE)))</f>
        <v/>
      </c>
      <c r="K22" s="95" t="str">
        <f>IF(ISBLANK($B22),"",IF(ISERROR(VLOOKUP($B22,'2 Feedstock database'!$B$16:$N$29,7,FALSE)),"",VLOOKUP($B22,'2 Feedstock database'!$B$16:$N$29,7,FALSE)))</f>
        <v/>
      </c>
      <c r="L22" s="95" t="str">
        <f>IF(ISBLANK($B22),"",IF(ISERROR(VLOOKUP($B22,'2 Feedstock database'!$B$16:$N$29,8,FALSE)),"",VLOOKUP($B22,'2 Feedstock database'!$B$16:$N$29,8,FALSE)))</f>
        <v/>
      </c>
      <c r="M22" s="95" t="str">
        <f>IF(ISBLANK($B22),"",IF(ISERROR(VLOOKUP($B22,'2 Feedstock database'!$B$16:$N$29,9,FALSE)),"",VLOOKUP($B22,'2 Feedstock database'!$B$16:$N$29,9,FALSE)))</f>
        <v/>
      </c>
      <c r="N22" s="95" t="str">
        <f t="shared" si="0"/>
        <v/>
      </c>
      <c r="O22" s="95" t="str">
        <f>IF(ISBLANK($B22),"",IF(ISERROR(VLOOKUP($B22,'2 Feedstock database'!$B$16:$N$29,10,FALSE)),"",VLOOKUP($B22,'2 Feedstock database'!$B$16:$N$29,10,FALSE)))</f>
        <v/>
      </c>
      <c r="P22" s="96" t="str">
        <f t="shared" si="3"/>
        <v/>
      </c>
      <c r="Q22" s="95" t="str">
        <f>IF(ISBLANK($B22),"",IF(ISERROR(VLOOKUP($B22,'2 Feedstock database'!$B$16:$N$29,11,FALSE)),"",VLOOKUP($B22,'2 Feedstock database'!$B$16:$N$29,11,FALSE)))</f>
        <v/>
      </c>
      <c r="R22" s="95" t="str">
        <f>IF(ISBLANK($B22),"",IF(ISERROR(VLOOKUP($B22,'2 Feedstock database'!$B$16:$N$29,12,FALSE)),"",VLOOKUP($B22,'2 Feedstock database'!$B$16:$N$29,12,FALSE)))</f>
        <v/>
      </c>
      <c r="S22" s="95" t="str">
        <f>IF(ISBLANK($B22),"",IF(ISERROR(VLOOKUP($B22,'2 Feedstock database'!$B$16:$N$29,13,FALSE)),"",VLOOKUP($B22,'2 Feedstock database'!$B$16:$N$29,13,FALSE)))</f>
        <v/>
      </c>
      <c r="T22" s="96" t="str">
        <f t="shared" si="1"/>
        <v/>
      </c>
      <c r="U22" s="96" t="str">
        <f t="shared" si="2"/>
        <v/>
      </c>
      <c r="V22" s="96" t="str">
        <f t="shared" si="4"/>
        <v/>
      </c>
      <c r="W22" s="97" t="str">
        <f t="shared" si="5"/>
        <v/>
      </c>
    </row>
    <row r="23" spans="2:23" ht="15.75" x14ac:dyDescent="0.25">
      <c r="B23" s="69"/>
      <c r="C23" s="70"/>
      <c r="D23" s="93" t="str">
        <f>IF(ISBLANK($B23),"",IF(ISERROR(VLOOKUP($B23,'2 Feedstock database'!$B$16:$N$29,2,FALSE)),"",VLOOKUP($B23,'2 Feedstock database'!$B$16:$N$29,2,FALSE)))</f>
        <v/>
      </c>
      <c r="E23" s="94" t="str">
        <f>IF(ISBLANK($B23),"",IF(ISERROR(VLOOKUP($B23,'2 Feedstock database'!$B$16:$N$29,3,FALSE)),"",VLOOKUP($B23,'2 Feedstock database'!$B$16:$N$29,3,FALSE)))</f>
        <v/>
      </c>
      <c r="F23" s="168"/>
      <c r="G23" s="171"/>
      <c r="J23" s="152" t="str">
        <f>IF(ISBLANK($B23),"",IF(ISERROR(VLOOKUP($B23,'2 Feedstock database'!$B$16:$N$29,6,FALSE)),"",VLOOKUP($B23,'2 Feedstock database'!$B$16:$N$29,6,FALSE)))</f>
        <v/>
      </c>
      <c r="K23" s="95" t="str">
        <f>IF(ISBLANK($B23),"",IF(ISERROR(VLOOKUP($B23,'2 Feedstock database'!$B$16:$N$29,7,FALSE)),"",VLOOKUP($B23,'2 Feedstock database'!$B$16:$N$29,7,FALSE)))</f>
        <v/>
      </c>
      <c r="L23" s="95" t="str">
        <f>IF(ISBLANK($B23),"",IF(ISERROR(VLOOKUP($B23,'2 Feedstock database'!$B$16:$N$29,8,FALSE)),"",VLOOKUP($B23,'2 Feedstock database'!$B$16:$N$29,8,FALSE)))</f>
        <v/>
      </c>
      <c r="M23" s="95" t="str">
        <f>IF(ISBLANK($B23),"",IF(ISERROR(VLOOKUP($B23,'2 Feedstock database'!$B$16:$N$29,9,FALSE)),"",VLOOKUP($B23,'2 Feedstock database'!$B$16:$N$29,9,FALSE)))</f>
        <v/>
      </c>
      <c r="N23" s="95" t="str">
        <f t="shared" si="0"/>
        <v/>
      </c>
      <c r="O23" s="95" t="str">
        <f>IF(ISBLANK($B23),"",IF(ISERROR(VLOOKUP($B23,'2 Feedstock database'!$B$16:$N$29,10,FALSE)),"",VLOOKUP($B23,'2 Feedstock database'!$B$16:$N$29,10,FALSE)))</f>
        <v/>
      </c>
      <c r="P23" s="96" t="str">
        <f t="shared" si="3"/>
        <v/>
      </c>
      <c r="Q23" s="95" t="str">
        <f>IF(ISBLANK($B23),"",IF(ISERROR(VLOOKUP($B23,'2 Feedstock database'!$B$16:$N$29,11,FALSE)),"",VLOOKUP($B23,'2 Feedstock database'!$B$16:$N$29,11,FALSE)))</f>
        <v/>
      </c>
      <c r="R23" s="95" t="str">
        <f>IF(ISBLANK($B23),"",IF(ISERROR(VLOOKUP($B23,'2 Feedstock database'!$B$16:$N$29,12,FALSE)),"",VLOOKUP($B23,'2 Feedstock database'!$B$16:$N$29,12,FALSE)))</f>
        <v/>
      </c>
      <c r="S23" s="95" t="str">
        <f>IF(ISBLANK($B23),"",IF(ISERROR(VLOOKUP($B23,'2 Feedstock database'!$B$16:$N$29,13,FALSE)),"",VLOOKUP($B23,'2 Feedstock database'!$B$16:$N$29,13,FALSE)))</f>
        <v/>
      </c>
      <c r="T23" s="96" t="str">
        <f t="shared" si="1"/>
        <v/>
      </c>
      <c r="U23" s="96" t="str">
        <f t="shared" si="2"/>
        <v/>
      </c>
      <c r="V23" s="96" t="str">
        <f t="shared" si="4"/>
        <v/>
      </c>
      <c r="W23" s="97" t="str">
        <f t="shared" si="5"/>
        <v/>
      </c>
    </row>
    <row r="24" spans="2:23" ht="15.75" x14ac:dyDescent="0.25">
      <c r="B24" s="69"/>
      <c r="C24" s="70"/>
      <c r="D24" s="93" t="str">
        <f>IF(ISBLANK($B24),"",IF(ISERROR(VLOOKUP($B24,'2 Feedstock database'!$B$16:$N$29,2,FALSE)),"",VLOOKUP($B24,'2 Feedstock database'!$B$16:$N$29,2,FALSE)))</f>
        <v/>
      </c>
      <c r="E24" s="94" t="str">
        <f>IF(ISBLANK($B24),"",IF(ISERROR(VLOOKUP($B24,'2 Feedstock database'!$B$16:$N$29,3,FALSE)),"",VLOOKUP($B24,'2 Feedstock database'!$B$16:$N$29,3,FALSE)))</f>
        <v/>
      </c>
      <c r="F24" s="168"/>
      <c r="G24" s="171"/>
      <c r="J24" s="152" t="str">
        <f>IF(ISBLANK($B24),"",IF(ISERROR(VLOOKUP($B24,'2 Feedstock database'!$B$16:$N$29,6,FALSE)),"",VLOOKUP($B24,'2 Feedstock database'!$B$16:$N$29,6,FALSE)))</f>
        <v/>
      </c>
      <c r="K24" s="95" t="str">
        <f>IF(ISBLANK($B24),"",IF(ISERROR(VLOOKUP($B24,'2 Feedstock database'!$B$16:$N$29,7,FALSE)),"",VLOOKUP($B24,'2 Feedstock database'!$B$16:$N$29,7,FALSE)))</f>
        <v/>
      </c>
      <c r="L24" s="95" t="str">
        <f>IF(ISBLANK($B24),"",IF(ISERROR(VLOOKUP($B24,'2 Feedstock database'!$B$16:$N$29,8,FALSE)),"",VLOOKUP($B24,'2 Feedstock database'!$B$16:$N$29,8,FALSE)))</f>
        <v/>
      </c>
      <c r="M24" s="95" t="str">
        <f>IF(ISBLANK($B24),"",IF(ISERROR(VLOOKUP($B24,'2 Feedstock database'!$B$16:$N$29,9,FALSE)),"",VLOOKUP($B24,'2 Feedstock database'!$B$16:$N$29,9,FALSE)))</f>
        <v/>
      </c>
      <c r="N24" s="95" t="str">
        <f t="shared" si="0"/>
        <v/>
      </c>
      <c r="O24" s="95" t="str">
        <f>IF(ISBLANK($B24),"",IF(ISERROR(VLOOKUP($B24,'2 Feedstock database'!$B$16:$N$29,10,FALSE)),"",VLOOKUP($B24,'2 Feedstock database'!$B$16:$N$29,10,FALSE)))</f>
        <v/>
      </c>
      <c r="P24" s="96" t="str">
        <f t="shared" si="3"/>
        <v/>
      </c>
      <c r="Q24" s="95" t="str">
        <f>IF(ISBLANK($B24),"",IF(ISERROR(VLOOKUP($B24,'2 Feedstock database'!$B$16:$N$29,11,FALSE)),"",VLOOKUP($B24,'2 Feedstock database'!$B$16:$N$29,11,FALSE)))</f>
        <v/>
      </c>
      <c r="R24" s="95" t="str">
        <f>IF(ISBLANK($B24),"",IF(ISERROR(VLOOKUP($B24,'2 Feedstock database'!$B$16:$N$29,12,FALSE)),"",VLOOKUP($B24,'2 Feedstock database'!$B$16:$N$29,12,FALSE)))</f>
        <v/>
      </c>
      <c r="S24" s="95" t="str">
        <f>IF(ISBLANK($B24),"",IF(ISERROR(VLOOKUP($B24,'2 Feedstock database'!$B$16:$N$29,13,FALSE)),"",VLOOKUP($B24,'2 Feedstock database'!$B$16:$N$29,13,FALSE)))</f>
        <v/>
      </c>
      <c r="T24" s="96" t="str">
        <f t="shared" si="1"/>
        <v/>
      </c>
      <c r="U24" s="96" t="str">
        <f t="shared" si="2"/>
        <v/>
      </c>
      <c r="V24" s="96" t="str">
        <f t="shared" si="4"/>
        <v/>
      </c>
      <c r="W24" s="97" t="str">
        <f t="shared" si="5"/>
        <v/>
      </c>
    </row>
    <row r="25" spans="2:23" ht="15.75" x14ac:dyDescent="0.25">
      <c r="B25" s="69"/>
      <c r="C25" s="70"/>
      <c r="D25" s="93" t="str">
        <f>IF(ISBLANK($B25),"",IF(ISERROR(VLOOKUP($B25,'2 Feedstock database'!$B$16:$N$29,2,FALSE)),"",VLOOKUP($B25,'2 Feedstock database'!$B$16:$N$29,2,FALSE)))</f>
        <v/>
      </c>
      <c r="E25" s="94" t="str">
        <f>IF(ISBLANK($B25),"",IF(ISERROR(VLOOKUP($B25,'2 Feedstock database'!$B$16:$N$29,3,FALSE)),"",VLOOKUP($B25,'2 Feedstock database'!$B$16:$N$29,3,FALSE)))</f>
        <v/>
      </c>
      <c r="F25" s="168"/>
      <c r="G25" s="171"/>
      <c r="J25" s="152" t="str">
        <f>IF(ISBLANK($B25),"",IF(ISERROR(VLOOKUP($B25,'2 Feedstock database'!$B$16:$N$29,6,FALSE)),"",VLOOKUP($B25,'2 Feedstock database'!$B$16:$N$29,6,FALSE)))</f>
        <v/>
      </c>
      <c r="K25" s="95" t="str">
        <f>IF(ISBLANK($B25),"",IF(ISERROR(VLOOKUP($B25,'2 Feedstock database'!$B$16:$N$29,7,FALSE)),"",VLOOKUP($B25,'2 Feedstock database'!$B$16:$N$29,7,FALSE)))</f>
        <v/>
      </c>
      <c r="L25" s="95" t="str">
        <f>IF(ISBLANK($B25),"",IF(ISERROR(VLOOKUP($B25,'2 Feedstock database'!$B$16:$N$29,8,FALSE)),"",VLOOKUP($B25,'2 Feedstock database'!$B$16:$N$29,8,FALSE)))</f>
        <v/>
      </c>
      <c r="M25" s="95" t="str">
        <f>IF(ISBLANK($B25),"",IF(ISERROR(VLOOKUP($B25,'2 Feedstock database'!$B$16:$N$29,9,FALSE)),"",VLOOKUP($B25,'2 Feedstock database'!$B$16:$N$29,9,FALSE)))</f>
        <v/>
      </c>
      <c r="N25" s="95" t="str">
        <f t="shared" si="0"/>
        <v/>
      </c>
      <c r="O25" s="95" t="str">
        <f>IF(ISBLANK($B25),"",IF(ISERROR(VLOOKUP($B25,'2 Feedstock database'!$B$16:$N$29,10,FALSE)),"",VLOOKUP($B25,'2 Feedstock database'!$B$16:$N$29,10,FALSE)))</f>
        <v/>
      </c>
      <c r="P25" s="96" t="str">
        <f t="shared" si="3"/>
        <v/>
      </c>
      <c r="Q25" s="95" t="str">
        <f>IF(ISBLANK($B25),"",IF(ISERROR(VLOOKUP($B25,'2 Feedstock database'!$B$16:$N$29,11,FALSE)),"",VLOOKUP($B25,'2 Feedstock database'!$B$16:$N$29,11,FALSE)))</f>
        <v/>
      </c>
      <c r="R25" s="95" t="str">
        <f>IF(ISBLANK($B25),"",IF(ISERROR(VLOOKUP($B25,'2 Feedstock database'!$B$16:$N$29,12,FALSE)),"",VLOOKUP($B25,'2 Feedstock database'!$B$16:$N$29,12,FALSE)))</f>
        <v/>
      </c>
      <c r="S25" s="95" t="str">
        <f>IF(ISBLANK($B25),"",IF(ISERROR(VLOOKUP($B25,'2 Feedstock database'!$B$16:$N$29,13,FALSE)),"",VLOOKUP($B25,'2 Feedstock database'!$B$16:$N$29,13,FALSE)))</f>
        <v/>
      </c>
      <c r="T25" s="96" t="str">
        <f t="shared" si="1"/>
        <v/>
      </c>
      <c r="U25" s="96" t="str">
        <f t="shared" si="2"/>
        <v/>
      </c>
      <c r="V25" s="96" t="str">
        <f t="shared" si="4"/>
        <v/>
      </c>
      <c r="W25" s="97" t="str">
        <f t="shared" si="5"/>
        <v/>
      </c>
    </row>
    <row r="26" spans="2:23" ht="15.75" x14ac:dyDescent="0.25">
      <c r="B26" s="69"/>
      <c r="C26" s="70"/>
      <c r="D26" s="93" t="str">
        <f>IF(ISBLANK($B26),"",IF(ISERROR(VLOOKUP($B26,'2 Feedstock database'!$B$16:$N$29,2,FALSE)),"",VLOOKUP($B26,'2 Feedstock database'!$B$16:$N$29,2,FALSE)))</f>
        <v/>
      </c>
      <c r="E26" s="94" t="str">
        <f>IF(ISBLANK($B26),"",IF(ISERROR(VLOOKUP($B26,'2 Feedstock database'!$B$16:$N$29,3,FALSE)),"",VLOOKUP($B26,'2 Feedstock database'!$B$16:$N$29,3,FALSE)))</f>
        <v/>
      </c>
      <c r="F26" s="168"/>
      <c r="G26" s="171"/>
      <c r="J26" s="152" t="str">
        <f>IF(ISBLANK($B26),"",IF(ISERROR(VLOOKUP($B26,'2 Feedstock database'!$B$16:$N$29,6,FALSE)),"",VLOOKUP($B26,'2 Feedstock database'!$B$16:$N$29,6,FALSE)))</f>
        <v/>
      </c>
      <c r="K26" s="95" t="str">
        <f>IF(ISBLANK($B26),"",IF(ISERROR(VLOOKUP($B26,'2 Feedstock database'!$B$16:$N$29,7,FALSE)),"",VLOOKUP($B26,'2 Feedstock database'!$B$16:$N$29,7,FALSE)))</f>
        <v/>
      </c>
      <c r="L26" s="95" t="str">
        <f>IF(ISBLANK($B26),"",IF(ISERROR(VLOOKUP($B26,'2 Feedstock database'!$B$16:$N$29,8,FALSE)),"",VLOOKUP($B26,'2 Feedstock database'!$B$16:$N$29,8,FALSE)))</f>
        <v/>
      </c>
      <c r="M26" s="95" t="str">
        <f>IF(ISBLANK($B26),"",IF(ISERROR(VLOOKUP($B26,'2 Feedstock database'!$B$16:$N$29,9,FALSE)),"",VLOOKUP($B26,'2 Feedstock database'!$B$16:$N$29,9,FALSE)))</f>
        <v/>
      </c>
      <c r="N26" s="95" t="str">
        <f t="shared" si="0"/>
        <v/>
      </c>
      <c r="O26" s="95" t="str">
        <f>IF(ISBLANK($B26),"",IF(ISERROR(VLOOKUP($B26,'2 Feedstock database'!$B$16:$N$29,10,FALSE)),"",VLOOKUP($B26,'2 Feedstock database'!$B$16:$N$29,10,FALSE)))</f>
        <v/>
      </c>
      <c r="P26" s="96" t="str">
        <f t="shared" si="3"/>
        <v/>
      </c>
      <c r="Q26" s="95" t="str">
        <f>IF(ISBLANK($B26),"",IF(ISERROR(VLOOKUP($B26,'2 Feedstock database'!$B$16:$N$29,11,FALSE)),"",VLOOKUP($B26,'2 Feedstock database'!$B$16:$N$29,11,FALSE)))</f>
        <v/>
      </c>
      <c r="R26" s="95" t="str">
        <f>IF(ISBLANK($B26),"",IF(ISERROR(VLOOKUP($B26,'2 Feedstock database'!$B$16:$N$29,12,FALSE)),"",VLOOKUP($B26,'2 Feedstock database'!$B$16:$N$29,12,FALSE)))</f>
        <v/>
      </c>
      <c r="S26" s="95" t="str">
        <f>IF(ISBLANK($B26),"",IF(ISERROR(VLOOKUP($B26,'2 Feedstock database'!$B$16:$N$29,13,FALSE)),"",VLOOKUP($B26,'2 Feedstock database'!$B$16:$N$29,13,FALSE)))</f>
        <v/>
      </c>
      <c r="T26" s="96" t="str">
        <f t="shared" si="1"/>
        <v/>
      </c>
      <c r="U26" s="96" t="str">
        <f t="shared" si="2"/>
        <v/>
      </c>
      <c r="V26" s="96" t="str">
        <f t="shared" si="4"/>
        <v/>
      </c>
      <c r="W26" s="97" t="str">
        <f t="shared" si="5"/>
        <v/>
      </c>
    </row>
    <row r="27" spans="2:23" ht="16.5" thickBot="1" x14ac:dyDescent="0.3">
      <c r="B27" s="71"/>
      <c r="C27" s="72"/>
      <c r="D27" s="98" t="str">
        <f>IF(ISBLANK($B27),"",IF(ISERROR(VLOOKUP($B27,'2 Feedstock database'!$B$16:$N$29,2,FALSE)),"",VLOOKUP($B27,'2 Feedstock database'!$B$16:$N$29,2,FALSE)))</f>
        <v/>
      </c>
      <c r="E27" s="99" t="str">
        <f>IF(ISBLANK($B27),"",IF(ISERROR(VLOOKUP($B27,'2 Feedstock database'!$B$16:$N$29,3,FALSE)),"",VLOOKUP($B27,'2 Feedstock database'!$B$16:$N$29,3,FALSE)))</f>
        <v/>
      </c>
      <c r="F27" s="168"/>
      <c r="G27" s="171"/>
      <c r="J27" s="153" t="str">
        <f>IF(ISBLANK($B27),"",IF(ISERROR(VLOOKUP($B27,'2 Feedstock database'!$B$16:$N$29,6,FALSE)),"",VLOOKUP($B27,'2 Feedstock database'!$B$16:$N$29,6,FALSE)))</f>
        <v/>
      </c>
      <c r="K27" s="100" t="str">
        <f>IF(ISBLANK($B27),"",IF(ISERROR(VLOOKUP($B27,'2 Feedstock database'!$B$16:$N$29,7,FALSE)),"",VLOOKUP($B27,'2 Feedstock database'!$B$16:$N$29,7,FALSE)))</f>
        <v/>
      </c>
      <c r="L27" s="100" t="str">
        <f>IF(ISBLANK($B27),"",IF(ISERROR(VLOOKUP($B27,'2 Feedstock database'!$B$16:$N$29,8,FALSE)),"",VLOOKUP($B27,'2 Feedstock database'!$B$16:$N$29,8,FALSE)))</f>
        <v/>
      </c>
      <c r="M27" s="100" t="str">
        <f>IF(ISBLANK($B27),"",IF(ISERROR(VLOOKUP($B27,'2 Feedstock database'!$B$16:$N$29,9,FALSE)),"",VLOOKUP($B27,'2 Feedstock database'!$B$16:$N$29,9,FALSE)))</f>
        <v/>
      </c>
      <c r="N27" s="100" t="str">
        <f t="shared" si="0"/>
        <v/>
      </c>
      <c r="O27" s="100" t="str">
        <f>IF(ISBLANK($B27),"",IF(ISERROR(VLOOKUP($B27,'2 Feedstock database'!$B$16:$N$29,10,FALSE)),"",VLOOKUP($B27,'2 Feedstock database'!$B$16:$N$29,10,FALSE)))</f>
        <v/>
      </c>
      <c r="P27" s="101" t="str">
        <f t="shared" si="3"/>
        <v/>
      </c>
      <c r="Q27" s="100" t="str">
        <f>IF(ISBLANK($B27),"",IF(ISERROR(VLOOKUP($B27,'2 Feedstock database'!$B$16:$N$29,11,FALSE)),"",VLOOKUP($B27,'2 Feedstock database'!$B$16:$N$29,11,FALSE)))</f>
        <v/>
      </c>
      <c r="R27" s="100" t="str">
        <f>IF(ISBLANK($B27),"",IF(ISERROR(VLOOKUP($B27,'2 Feedstock database'!$B$16:$N$29,12,FALSE)),"",VLOOKUP($B27,'2 Feedstock database'!$B$16:$N$29,12,FALSE)))</f>
        <v/>
      </c>
      <c r="S27" s="100" t="str">
        <f>IF(ISBLANK($B27),"",IF(ISERROR(VLOOKUP($B27,'2 Feedstock database'!$B$16:$N$29,13,FALSE)),"",VLOOKUP($B27,'2 Feedstock database'!$B$16:$N$29,13,FALSE)))</f>
        <v/>
      </c>
      <c r="T27" s="101" t="str">
        <f t="shared" si="1"/>
        <v/>
      </c>
      <c r="U27" s="101" t="str">
        <f t="shared" si="2"/>
        <v/>
      </c>
      <c r="V27" s="101" t="str">
        <f t="shared" si="4"/>
        <v/>
      </c>
      <c r="W27" s="102" t="str">
        <f t="shared" si="5"/>
        <v/>
      </c>
    </row>
    <row r="28" spans="2:23" x14ac:dyDescent="0.25">
      <c r="B28" s="21"/>
      <c r="C28" s="19"/>
      <c r="D28" s="20"/>
      <c r="E28" s="20"/>
      <c r="F28" s="20"/>
      <c r="G28" s="20"/>
      <c r="H28" s="20"/>
      <c r="I28" s="20"/>
      <c r="J28" s="20"/>
      <c r="K28" s="20"/>
      <c r="L28" s="22"/>
      <c r="M28" s="20"/>
      <c r="N28" s="22"/>
      <c r="O28" s="20"/>
      <c r="P28" s="20"/>
      <c r="Q28" s="20"/>
      <c r="R28" s="19"/>
      <c r="S28" s="19"/>
      <c r="T28" s="19"/>
      <c r="U28" s="19"/>
      <c r="V28" s="19"/>
      <c r="W28" s="19"/>
    </row>
    <row r="29" spans="2:23" ht="23.25" x14ac:dyDescent="0.35">
      <c r="B29" s="237" t="s">
        <v>123</v>
      </c>
      <c r="C29" s="237"/>
      <c r="D29" s="20"/>
      <c r="E29" s="20"/>
      <c r="F29" s="20"/>
      <c r="G29" s="20"/>
      <c r="H29" s="20"/>
      <c r="I29" s="20"/>
      <c r="J29" s="20"/>
      <c r="K29" s="20"/>
      <c r="L29" s="22"/>
      <c r="M29" s="20"/>
      <c r="N29" s="22"/>
      <c r="O29" s="20"/>
      <c r="P29" s="20"/>
      <c r="Q29" s="20"/>
      <c r="R29" s="19"/>
      <c r="S29" s="19"/>
      <c r="T29" s="19"/>
      <c r="U29" s="19"/>
      <c r="V29" s="19"/>
      <c r="W29" s="19"/>
    </row>
    <row r="30" spans="2:23" ht="18.75" x14ac:dyDescent="0.25">
      <c r="B30" s="105" t="s">
        <v>140</v>
      </c>
      <c r="C30" s="19"/>
      <c r="D30" s="20"/>
      <c r="E30" s="20"/>
      <c r="F30" s="20"/>
      <c r="G30" s="20"/>
      <c r="H30" s="20"/>
      <c r="I30" s="20"/>
      <c r="J30" s="20"/>
      <c r="K30" s="20"/>
      <c r="L30" s="22"/>
      <c r="M30" s="20"/>
      <c r="N30" s="22"/>
      <c r="O30" s="20"/>
      <c r="P30" s="20"/>
      <c r="Q30" s="20"/>
      <c r="R30" s="19"/>
      <c r="S30" s="19"/>
      <c r="T30" s="19"/>
      <c r="U30" s="19"/>
      <c r="V30" s="19"/>
      <c r="W30" s="19"/>
    </row>
    <row r="31" spans="2:23" ht="19.5" thickBot="1" x14ac:dyDescent="0.3">
      <c r="B31" s="65"/>
      <c r="C31" s="19"/>
      <c r="D31" s="20"/>
      <c r="E31" s="20"/>
      <c r="F31" s="20"/>
      <c r="G31" s="20"/>
      <c r="H31" s="20"/>
      <c r="I31" s="20"/>
      <c r="J31" s="20"/>
      <c r="K31" s="20"/>
      <c r="L31" s="22"/>
      <c r="M31" s="20"/>
      <c r="N31" s="22"/>
      <c r="O31" s="20"/>
      <c r="P31" s="20"/>
      <c r="Q31" s="20"/>
      <c r="R31" s="19"/>
      <c r="S31" s="19"/>
      <c r="T31" s="19"/>
      <c r="U31" s="19"/>
      <c r="V31" s="19"/>
      <c r="W31" s="19"/>
    </row>
    <row r="32" spans="2:23" ht="16.5" customHeight="1" x14ac:dyDescent="0.25">
      <c r="B32" s="253" t="s">
        <v>2</v>
      </c>
      <c r="C32" s="256" t="e">
        <f>IF(E76&gt;E84,CONCATENATE("Your mixture is too dry, you need to add water to have at least ",1-E84," moisture content. Current: ",ROUND(D76,3)),IF(E76&lt;D84,CONCATENATE("Your mixture is too wet, you should reduce moisture content or increase drier feedstock in the mixture to reach at least ",D84," Total Solids. Current: ",ROUND(E76,3)),"Optimal"))</f>
        <v>#DIV/0!</v>
      </c>
      <c r="D32" s="257"/>
      <c r="E32" s="257"/>
      <c r="F32" s="257"/>
      <c r="G32" s="257"/>
      <c r="H32" s="258"/>
      <c r="I32" s="173"/>
      <c r="J32" s="173"/>
      <c r="K32" s="20"/>
      <c r="L32" s="22"/>
      <c r="M32" s="20"/>
      <c r="N32" s="22"/>
      <c r="O32" s="20"/>
      <c r="P32" s="20"/>
      <c r="Q32" s="20"/>
      <c r="R32" s="19"/>
      <c r="S32" s="19"/>
      <c r="T32" s="19"/>
      <c r="U32" s="19"/>
      <c r="V32" s="19"/>
      <c r="W32" s="19"/>
    </row>
    <row r="33" spans="2:23" ht="16.5" customHeight="1" x14ac:dyDescent="0.25">
      <c r="B33" s="254"/>
      <c r="C33" s="259"/>
      <c r="D33" s="260"/>
      <c r="E33" s="260"/>
      <c r="F33" s="260"/>
      <c r="G33" s="260"/>
      <c r="H33" s="261"/>
      <c r="I33" s="173"/>
      <c r="J33" s="173"/>
      <c r="K33" s="20"/>
      <c r="L33" s="22"/>
      <c r="M33" s="20"/>
      <c r="N33" s="22"/>
      <c r="O33" s="20"/>
      <c r="P33" s="20"/>
      <c r="Q33" s="20"/>
      <c r="R33" s="19"/>
      <c r="S33" s="19"/>
      <c r="T33" s="19"/>
      <c r="U33" s="19"/>
      <c r="V33" s="19"/>
      <c r="W33" s="19"/>
    </row>
    <row r="34" spans="2:23" ht="16.5" customHeight="1" x14ac:dyDescent="0.25">
      <c r="B34" s="254"/>
      <c r="C34" s="262" t="e">
        <f>IF(D76&lt;(1-E84),CONCATENATE("Add ",ROUNDUP(((1-E84)*SUM(C17:C27)-SUM(T17:T27))/E84,0)," kg of water to your feedstock"),IF(D76&gt;(1-D84),CONCATENATE("Reduce water by ",ROUNDUP(((1-D84)*SUM(C17:C27)-SUM(T17:T27))/D84,0)," kg"),""))</f>
        <v>#DIV/0!</v>
      </c>
      <c r="D34" s="263"/>
      <c r="E34" s="263"/>
      <c r="F34" s="263"/>
      <c r="G34" s="263"/>
      <c r="H34" s="264"/>
      <c r="I34" s="174"/>
      <c r="J34" s="174"/>
      <c r="K34" s="20"/>
      <c r="L34" s="22"/>
      <c r="M34" s="20"/>
      <c r="N34" s="22"/>
      <c r="O34" s="20"/>
      <c r="P34" s="20"/>
      <c r="Q34" s="20"/>
      <c r="R34" s="19"/>
      <c r="S34" s="19"/>
      <c r="T34" s="19"/>
      <c r="U34" s="19"/>
      <c r="V34" s="19"/>
      <c r="W34" s="19"/>
    </row>
    <row r="35" spans="2:23" ht="16.5" customHeight="1" thickBot="1" x14ac:dyDescent="0.3">
      <c r="B35" s="255"/>
      <c r="C35" s="265"/>
      <c r="D35" s="266"/>
      <c r="E35" s="266"/>
      <c r="F35" s="266"/>
      <c r="G35" s="266"/>
      <c r="H35" s="267"/>
      <c r="I35" s="174"/>
      <c r="J35" s="174"/>
      <c r="K35" s="20"/>
      <c r="L35" s="22"/>
      <c r="M35" s="20"/>
      <c r="N35" s="22"/>
      <c r="O35" s="20"/>
      <c r="P35" s="20"/>
      <c r="Q35" s="20"/>
      <c r="R35" s="19"/>
      <c r="S35" s="19"/>
      <c r="T35" s="19"/>
      <c r="U35" s="19"/>
      <c r="V35" s="19"/>
      <c r="W35" s="19"/>
    </row>
    <row r="36" spans="2:23" s="7" customFormat="1" ht="16.5" customHeight="1" thickBot="1" x14ac:dyDescent="0.3">
      <c r="B36" s="73"/>
      <c r="C36" s="74"/>
      <c r="D36" s="74"/>
      <c r="E36" s="74"/>
      <c r="F36" s="74"/>
      <c r="G36" s="74"/>
      <c r="H36" s="74"/>
      <c r="I36" s="75"/>
      <c r="J36" s="75"/>
      <c r="K36" s="20"/>
      <c r="L36" s="22"/>
      <c r="M36" s="20"/>
      <c r="N36" s="22"/>
      <c r="O36" s="20"/>
      <c r="P36" s="20"/>
      <c r="Q36" s="20"/>
      <c r="R36" s="19"/>
      <c r="S36" s="19"/>
      <c r="T36" s="19"/>
      <c r="U36" s="19"/>
      <c r="V36" s="19"/>
      <c r="W36" s="19"/>
    </row>
    <row r="37" spans="2:23" ht="18.600000000000001" customHeight="1" x14ac:dyDescent="0.25">
      <c r="B37" s="253" t="s">
        <v>3</v>
      </c>
      <c r="C37" s="256" t="e">
        <f>IF(K76&gt;E86,CONCATENATE("Too high, increase nitrogen rich feedstock or reduce carbon rich feedstock to have a C/N ratio of less than ",E86,". Current: ",ROUND(K76,3)),IF(K76&lt;D86,CONCATENATE("Too low, increase carbon rich feedstock or reduce nitrogen rich feedstock to have a C/N ratio of more than ",D86,". Current: ",ROUND(K76,3)),IF(K76&gt;E85,"Acceptable",IF(K76&lt;D85,"Acceptable","Optimal"))))</f>
        <v>#DIV/0!</v>
      </c>
      <c r="D37" s="257"/>
      <c r="E37" s="257"/>
      <c r="F37" s="257"/>
      <c r="G37" s="257"/>
      <c r="H37" s="258"/>
      <c r="I37" s="173"/>
      <c r="J37" s="173"/>
      <c r="K37" s="20"/>
      <c r="L37" s="22"/>
      <c r="M37" s="20"/>
      <c r="N37" s="22"/>
      <c r="O37" s="20"/>
      <c r="P37" s="20"/>
      <c r="Q37" s="20"/>
      <c r="R37" s="19"/>
      <c r="S37" s="19"/>
      <c r="T37" s="19"/>
      <c r="U37" s="19"/>
      <c r="V37" s="19"/>
      <c r="W37" s="19"/>
    </row>
    <row r="38" spans="2:23" ht="18.600000000000001" customHeight="1" thickBot="1" x14ac:dyDescent="0.3">
      <c r="B38" s="255"/>
      <c r="C38" s="268"/>
      <c r="D38" s="269"/>
      <c r="E38" s="269"/>
      <c r="F38" s="269"/>
      <c r="G38" s="269"/>
      <c r="H38" s="270"/>
      <c r="I38" s="173"/>
      <c r="J38" s="173"/>
      <c r="K38" s="20"/>
      <c r="L38" s="22"/>
      <c r="M38" s="20"/>
      <c r="N38" s="22"/>
      <c r="O38" s="20"/>
      <c r="P38" s="20"/>
      <c r="Q38" s="20"/>
      <c r="R38" s="19"/>
      <c r="S38" s="19"/>
      <c r="T38" s="19"/>
      <c r="U38" s="19"/>
      <c r="V38" s="19"/>
      <c r="W38" s="19"/>
    </row>
    <row r="39" spans="2:23" ht="15.75" x14ac:dyDescent="0.25">
      <c r="B39" s="76"/>
      <c r="C39" s="77"/>
      <c r="D39" s="75"/>
      <c r="E39" s="75"/>
      <c r="F39" s="75"/>
      <c r="G39" s="75"/>
      <c r="H39" s="75"/>
      <c r="I39" s="75"/>
      <c r="J39" s="75"/>
      <c r="K39" s="20"/>
      <c r="L39" s="22"/>
      <c r="M39" s="20"/>
      <c r="N39" s="22"/>
      <c r="O39" s="20"/>
      <c r="P39" s="20"/>
      <c r="Q39" s="20"/>
      <c r="R39" s="19"/>
      <c r="S39" s="19"/>
      <c r="T39" s="19"/>
      <c r="U39" s="19"/>
      <c r="V39" s="19"/>
      <c r="W39" s="19"/>
    </row>
    <row r="40" spans="2:23" ht="16.5" thickBot="1" x14ac:dyDescent="0.3">
      <c r="B40" s="212" t="s">
        <v>141</v>
      </c>
      <c r="C40" s="212"/>
      <c r="D40" s="212"/>
      <c r="E40" s="75"/>
      <c r="F40" s="75"/>
      <c r="G40" s="75"/>
      <c r="H40" s="75"/>
      <c r="I40" s="75"/>
      <c r="J40" s="75"/>
      <c r="K40" s="20"/>
      <c r="L40" s="22"/>
      <c r="M40" s="20"/>
      <c r="N40" s="22"/>
      <c r="O40" s="20"/>
      <c r="P40" s="20"/>
      <c r="Q40" s="20"/>
      <c r="R40" s="19"/>
      <c r="S40" s="19"/>
      <c r="T40" s="19"/>
      <c r="U40" s="19"/>
      <c r="V40" s="19"/>
      <c r="W40" s="19"/>
    </row>
    <row r="41" spans="2:23" ht="14.45" customHeight="1" x14ac:dyDescent="0.25">
      <c r="B41" s="233" t="s">
        <v>142</v>
      </c>
      <c r="C41" s="215" t="e">
        <f>IF(AND(C32="Optimal",C37="Optimal"),"Yes",IF(AND(C32="Optimal",C37="Acceptable"),"Yes, C/N ratio acceptable but not optimal","No"))</f>
        <v>#DIV/0!</v>
      </c>
      <c r="D41" s="216"/>
      <c r="E41" s="52"/>
      <c r="F41" s="52"/>
      <c r="G41" s="52"/>
      <c r="H41" s="52"/>
      <c r="I41" s="52"/>
      <c r="J41" s="52"/>
      <c r="K41" s="20"/>
      <c r="L41" s="22"/>
      <c r="M41" s="20"/>
      <c r="N41" s="22"/>
      <c r="O41" s="20"/>
      <c r="P41" s="20"/>
      <c r="Q41" s="20"/>
      <c r="R41" s="19"/>
      <c r="S41" s="19"/>
      <c r="T41" s="19"/>
      <c r="U41" s="19"/>
      <c r="V41" s="19"/>
      <c r="W41" s="19"/>
    </row>
    <row r="42" spans="2:23" ht="14.45" customHeight="1" x14ac:dyDescent="0.25">
      <c r="B42" s="234"/>
      <c r="C42" s="217"/>
      <c r="D42" s="218"/>
      <c r="E42" s="52"/>
      <c r="F42" s="52"/>
      <c r="G42" s="52"/>
      <c r="H42" s="52"/>
      <c r="I42" s="52"/>
      <c r="J42" s="52"/>
      <c r="K42" s="20"/>
      <c r="L42" s="22"/>
      <c r="M42" s="20"/>
      <c r="N42" s="22"/>
      <c r="O42" s="20"/>
      <c r="P42" s="20"/>
      <c r="Q42" s="20"/>
      <c r="R42" s="19"/>
      <c r="S42" s="19"/>
      <c r="T42" s="19"/>
      <c r="U42" s="19"/>
      <c r="V42" s="19"/>
      <c r="W42" s="19"/>
    </row>
    <row r="43" spans="2:23" ht="14.45" customHeight="1" x14ac:dyDescent="0.25">
      <c r="B43" s="234"/>
      <c r="C43" s="217"/>
      <c r="D43" s="218"/>
      <c r="E43" s="52"/>
      <c r="F43" s="52"/>
      <c r="G43" s="52"/>
      <c r="H43" s="52"/>
      <c r="I43" s="52"/>
      <c r="J43" s="52"/>
      <c r="K43" s="20"/>
      <c r="L43" s="22"/>
      <c r="M43" s="20"/>
      <c r="N43" s="22"/>
      <c r="O43" s="20"/>
      <c r="P43" s="20"/>
      <c r="Q43" s="20"/>
      <c r="R43" s="19"/>
      <c r="S43" s="19"/>
      <c r="T43" s="19"/>
      <c r="U43" s="19"/>
      <c r="V43" s="19"/>
      <c r="W43" s="19"/>
    </row>
    <row r="44" spans="2:23" ht="14.45" customHeight="1" thickBot="1" x14ac:dyDescent="0.3">
      <c r="B44" s="235"/>
      <c r="C44" s="219"/>
      <c r="D44" s="220"/>
      <c r="E44" s="52"/>
      <c r="F44" s="52"/>
      <c r="G44" s="52"/>
      <c r="H44" s="52"/>
      <c r="I44" s="52"/>
      <c r="J44" s="52"/>
      <c r="K44" s="20"/>
      <c r="L44" s="22"/>
      <c r="M44" s="20"/>
      <c r="N44" s="22"/>
      <c r="O44" s="20"/>
      <c r="P44" s="20"/>
      <c r="Q44" s="20"/>
      <c r="R44" s="19"/>
      <c r="S44" s="19"/>
      <c r="T44" s="19"/>
      <c r="U44" s="19"/>
      <c r="V44" s="19"/>
      <c r="W44" s="19"/>
    </row>
    <row r="45" spans="2:23" x14ac:dyDescent="0.25">
      <c r="B45" s="5"/>
      <c r="C45" s="7"/>
      <c r="D45" s="8"/>
      <c r="E45" s="8"/>
      <c r="F45" s="8"/>
      <c r="G45" s="8"/>
      <c r="H45" s="10"/>
      <c r="I45" s="10"/>
      <c r="J45" s="10"/>
      <c r="K45" s="10"/>
      <c r="L45" s="11"/>
      <c r="M45" s="11"/>
      <c r="N45" s="11"/>
      <c r="O45" s="10"/>
      <c r="P45" s="10"/>
      <c r="Q45" s="10"/>
      <c r="R45" s="9"/>
      <c r="S45" s="9"/>
      <c r="T45" s="9"/>
      <c r="U45" s="9"/>
      <c r="V45" s="9"/>
      <c r="W45" s="9"/>
    </row>
    <row r="46" spans="2:23" ht="23.25" x14ac:dyDescent="0.35">
      <c r="B46" s="237" t="s">
        <v>136</v>
      </c>
      <c r="C46" s="237"/>
      <c r="D46" s="8"/>
      <c r="E46" s="8"/>
      <c r="F46" s="8"/>
      <c r="G46" s="8"/>
      <c r="H46" s="10"/>
      <c r="I46" s="10"/>
      <c r="J46" s="10"/>
      <c r="K46" s="10"/>
      <c r="L46" s="11"/>
      <c r="M46" s="11"/>
      <c r="N46" s="11"/>
      <c r="O46" s="10"/>
      <c r="P46" s="10"/>
      <c r="Q46" s="10"/>
      <c r="R46" s="9"/>
      <c r="S46" s="9"/>
      <c r="T46" s="9"/>
      <c r="U46" s="9"/>
      <c r="V46" s="9"/>
      <c r="W46" s="9"/>
    </row>
    <row r="47" spans="2:23" ht="23.25" x14ac:dyDescent="0.35">
      <c r="B47" s="140" t="s">
        <v>143</v>
      </c>
      <c r="C47" s="156"/>
      <c r="D47" s="140"/>
      <c r="E47" s="8"/>
      <c r="F47" s="8"/>
      <c r="G47" s="8"/>
      <c r="H47" s="10"/>
      <c r="I47" s="10"/>
      <c r="J47" s="10"/>
      <c r="K47" s="10"/>
      <c r="L47" s="11"/>
      <c r="M47" s="11"/>
      <c r="N47" s="11"/>
      <c r="O47" s="10"/>
      <c r="P47" s="10"/>
      <c r="Q47" s="10"/>
      <c r="R47" s="9"/>
      <c r="S47" s="9"/>
      <c r="T47" s="9"/>
      <c r="U47" s="9"/>
      <c r="V47" s="9"/>
      <c r="W47" s="9"/>
    </row>
    <row r="48" spans="2:23" x14ac:dyDescent="0.25">
      <c r="E48" s="8"/>
      <c r="F48" s="8"/>
      <c r="G48" s="8"/>
      <c r="H48" s="10"/>
      <c r="I48" s="10"/>
      <c r="J48" s="10"/>
      <c r="K48" s="10"/>
      <c r="L48" s="11"/>
      <c r="M48" s="11"/>
      <c r="N48" s="11"/>
      <c r="O48" s="10"/>
      <c r="P48" s="10"/>
      <c r="Q48" s="10"/>
      <c r="R48" s="9"/>
      <c r="S48" s="9"/>
      <c r="T48" s="9"/>
      <c r="U48" s="9"/>
      <c r="V48" s="9"/>
      <c r="W48" s="9"/>
    </row>
    <row r="49" spans="2:23" ht="18.75" x14ac:dyDescent="0.3">
      <c r="B49" s="199" t="s">
        <v>192</v>
      </c>
      <c r="E49" s="8"/>
      <c r="F49" s="8"/>
      <c r="G49" s="8"/>
      <c r="H49" s="10"/>
      <c r="I49" s="10"/>
      <c r="J49" s="10"/>
      <c r="K49" s="10"/>
      <c r="L49" s="11"/>
      <c r="M49" s="11"/>
      <c r="N49" s="11"/>
      <c r="O49" s="10"/>
      <c r="P49" s="10"/>
      <c r="Q49" s="10"/>
      <c r="R49" s="9"/>
      <c r="S49" s="9"/>
      <c r="T49" s="9"/>
      <c r="U49" s="9"/>
      <c r="V49" s="9"/>
      <c r="W49" s="9"/>
    </row>
    <row r="50" spans="2:23" ht="15.75" thickBot="1" x14ac:dyDescent="0.3">
      <c r="B50" s="7"/>
      <c r="C50" s="25"/>
      <c r="D50" s="7"/>
      <c r="E50" s="7"/>
      <c r="F50" s="7"/>
      <c r="G50" s="7"/>
      <c r="H50" s="7"/>
      <c r="I50" s="25"/>
      <c r="J50" s="7"/>
      <c r="K50" s="7"/>
      <c r="L50" s="7"/>
      <c r="M50" s="7"/>
      <c r="P50" s="10"/>
      <c r="Q50" s="10"/>
      <c r="R50" s="9"/>
      <c r="S50" s="9"/>
      <c r="T50" s="9"/>
      <c r="U50" s="9"/>
      <c r="V50" s="9"/>
      <c r="W50" s="9"/>
    </row>
    <row r="51" spans="2:23" ht="21" x14ac:dyDescent="0.25">
      <c r="B51" s="247" t="s">
        <v>50</v>
      </c>
      <c r="C51" s="248"/>
      <c r="D51" s="248"/>
      <c r="E51" s="248"/>
      <c r="F51" s="248"/>
      <c r="G51" s="248"/>
      <c r="H51" s="249"/>
      <c r="T51" s="9"/>
      <c r="U51" s="9"/>
      <c r="V51" s="9"/>
      <c r="W51" s="9"/>
    </row>
    <row r="52" spans="2:23" x14ac:dyDescent="0.25">
      <c r="B52" s="179"/>
      <c r="C52" s="155" t="s">
        <v>32</v>
      </c>
      <c r="D52" s="155" t="s">
        <v>33</v>
      </c>
      <c r="E52" s="180"/>
      <c r="F52" s="180"/>
      <c r="G52" s="180"/>
      <c r="H52" s="181"/>
      <c r="T52" s="9"/>
      <c r="U52" s="9"/>
      <c r="V52" s="9"/>
      <c r="W52" s="9"/>
    </row>
    <row r="53" spans="2:23" x14ac:dyDescent="0.25">
      <c r="B53" s="154" t="s">
        <v>53</v>
      </c>
      <c r="C53" s="155">
        <f>IFERROR(VLOOKUP("Water",B17:C27,2,FALSE),0)</f>
        <v>0</v>
      </c>
      <c r="D53" s="182"/>
      <c r="E53" s="182" t="s">
        <v>54</v>
      </c>
      <c r="F53" s="180"/>
      <c r="G53" s="180"/>
      <c r="H53" s="181"/>
      <c r="T53" s="9"/>
      <c r="U53" s="9"/>
      <c r="V53" s="9"/>
      <c r="W53" s="9"/>
    </row>
    <row r="54" spans="2:23" x14ac:dyDescent="0.25">
      <c r="B54" s="154" t="s">
        <v>5</v>
      </c>
      <c r="C54" s="155">
        <f>IF(C76=0,0,IF(ROUNDUP(C76/1000,0)=1,D106*ROUNDUP(C76/1000,0),D106+D107*(ROUNDUP(C76/1000,0)-1)))</f>
        <v>0</v>
      </c>
      <c r="D54" s="155">
        <f>IF(C76=0,0,IF(C76&lt;1000,E106*ROUNDUP(C76/1000,0),ROUNDUP(E106+E107*(C76-1000)/1000,0)))</f>
        <v>0</v>
      </c>
      <c r="E54" s="182" t="s">
        <v>115</v>
      </c>
      <c r="F54" s="180"/>
      <c r="G54" s="180"/>
      <c r="H54" s="181"/>
      <c r="I54" s="7"/>
      <c r="J54" s="7"/>
      <c r="T54" s="9"/>
      <c r="U54" s="9"/>
      <c r="V54" s="9"/>
      <c r="W54" s="9"/>
    </row>
    <row r="55" spans="2:23" ht="15.75" thickBot="1" x14ac:dyDescent="0.3">
      <c r="B55" s="231"/>
      <c r="C55" s="232"/>
      <c r="D55" s="183"/>
      <c r="E55" s="183"/>
      <c r="F55" s="184"/>
      <c r="G55" s="185"/>
      <c r="H55" s="186"/>
      <c r="I55" s="7"/>
      <c r="J55" s="7"/>
      <c r="T55" s="9"/>
      <c r="U55" s="9"/>
      <c r="V55" s="9"/>
      <c r="W55" s="9"/>
    </row>
    <row r="56" spans="2:23" ht="21" x14ac:dyDescent="0.35">
      <c r="B56" s="250" t="s">
        <v>113</v>
      </c>
      <c r="C56" s="251"/>
      <c r="D56" s="250" t="s">
        <v>114</v>
      </c>
      <c r="E56" s="252"/>
      <c r="F56" s="252"/>
      <c r="G56" s="252"/>
      <c r="H56" s="251"/>
      <c r="I56" s="7"/>
      <c r="J56" s="7"/>
      <c r="T56" s="9"/>
      <c r="U56" s="9"/>
      <c r="V56" s="9"/>
      <c r="W56" s="9"/>
    </row>
    <row r="57" spans="2:23" ht="30" x14ac:dyDescent="0.25">
      <c r="B57" s="172" t="s">
        <v>165</v>
      </c>
      <c r="C57" s="116">
        <f>D93*J76/D94</f>
        <v>0</v>
      </c>
      <c r="D57" s="224" t="s">
        <v>58</v>
      </c>
      <c r="E57" s="225"/>
      <c r="F57" s="225"/>
      <c r="G57" s="187">
        <f>C57*1000/D101</f>
        <v>0</v>
      </c>
      <c r="H57" s="111"/>
      <c r="I57" s="5"/>
      <c r="J57" s="176"/>
      <c r="T57" s="9"/>
      <c r="U57" s="9"/>
      <c r="V57" s="9"/>
      <c r="W57" s="9"/>
    </row>
    <row r="58" spans="2:23" x14ac:dyDescent="0.25">
      <c r="B58" s="172" t="s">
        <v>166</v>
      </c>
      <c r="C58" s="178">
        <f>C76-(C57*D97)</f>
        <v>0</v>
      </c>
      <c r="D58" s="224" t="s">
        <v>155</v>
      </c>
      <c r="E58" s="225"/>
      <c r="F58" s="225"/>
      <c r="G58" s="187">
        <f>G57/5</f>
        <v>0</v>
      </c>
      <c r="H58" s="111"/>
      <c r="I58" s="5"/>
      <c r="J58" s="176"/>
      <c r="T58" s="9"/>
      <c r="U58" s="9"/>
      <c r="V58" s="9"/>
      <c r="W58" s="9"/>
    </row>
    <row r="59" spans="2:23" ht="15.75" thickBot="1" x14ac:dyDescent="0.3">
      <c r="B59" s="114"/>
      <c r="C59" s="188"/>
      <c r="D59" s="189"/>
      <c r="E59" s="115"/>
      <c r="F59" s="115"/>
      <c r="G59" s="115"/>
      <c r="H59" s="117"/>
      <c r="I59" s="5"/>
      <c r="J59" s="176"/>
      <c r="T59" s="9"/>
      <c r="U59" s="9"/>
      <c r="V59" s="9"/>
      <c r="W59" s="9"/>
    </row>
    <row r="60" spans="2:23" ht="21" x14ac:dyDescent="0.35">
      <c r="B60" s="106"/>
      <c r="C60" s="107" t="s">
        <v>52</v>
      </c>
      <c r="D60" s="108"/>
      <c r="E60" s="108"/>
      <c r="F60" s="108"/>
      <c r="G60" s="108"/>
      <c r="H60" s="159"/>
      <c r="I60" s="7"/>
      <c r="J60" s="7"/>
      <c r="K60" s="7"/>
      <c r="T60" s="9"/>
      <c r="U60" s="9"/>
      <c r="V60" s="9"/>
      <c r="W60" s="9"/>
    </row>
    <row r="61" spans="2:23" ht="14.45" customHeight="1" x14ac:dyDescent="0.25">
      <c r="B61" s="224" t="s">
        <v>167</v>
      </c>
      <c r="C61" s="226">
        <f>C76/D95*D96</f>
        <v>0</v>
      </c>
      <c r="D61" s="147"/>
      <c r="E61" s="238" t="s">
        <v>168</v>
      </c>
      <c r="F61" s="238"/>
      <c r="G61" s="238"/>
      <c r="H61" s="239"/>
      <c r="I61" s="7"/>
      <c r="J61" s="7"/>
      <c r="T61" s="9"/>
      <c r="U61" s="9"/>
      <c r="V61" s="9"/>
      <c r="W61" s="9"/>
    </row>
    <row r="62" spans="2:23" ht="16.5" customHeight="1" x14ac:dyDescent="0.25">
      <c r="B62" s="224"/>
      <c r="C62" s="226"/>
      <c r="D62" s="83"/>
      <c r="E62" s="238"/>
      <c r="F62" s="238"/>
      <c r="G62" s="238"/>
      <c r="H62" s="239"/>
      <c r="I62" s="7"/>
      <c r="J62" s="7"/>
      <c r="T62" s="9"/>
      <c r="U62" s="9"/>
      <c r="V62" s="9"/>
      <c r="W62" s="9"/>
    </row>
    <row r="63" spans="2:23" x14ac:dyDescent="0.25">
      <c r="B63" s="109"/>
      <c r="C63" s="147" t="s">
        <v>32</v>
      </c>
      <c r="D63" s="147" t="s">
        <v>33</v>
      </c>
      <c r="E63" s="83"/>
      <c r="F63" s="83"/>
      <c r="G63" s="83"/>
      <c r="H63" s="111"/>
      <c r="I63" s="7"/>
      <c r="J63" s="7"/>
      <c r="T63" s="9"/>
      <c r="U63" s="9"/>
      <c r="V63" s="9"/>
      <c r="W63" s="9"/>
    </row>
    <row r="64" spans="2:23" ht="14.45" customHeight="1" x14ac:dyDescent="0.25">
      <c r="B64" s="240" t="s">
        <v>148</v>
      </c>
      <c r="C64" s="241">
        <f>D108*C76/1000</f>
        <v>0</v>
      </c>
      <c r="D64" s="241">
        <f>E108*C76/1000</f>
        <v>0</v>
      </c>
      <c r="E64" s="242" t="s">
        <v>118</v>
      </c>
      <c r="F64" s="242"/>
      <c r="G64" s="242"/>
      <c r="H64" s="243"/>
      <c r="I64" s="175"/>
      <c r="J64" s="177"/>
      <c r="T64" s="9"/>
      <c r="U64" s="9"/>
      <c r="V64" s="9"/>
      <c r="W64" s="9"/>
    </row>
    <row r="65" spans="2:23" ht="14.45" customHeight="1" x14ac:dyDescent="0.25">
      <c r="B65" s="240"/>
      <c r="C65" s="241"/>
      <c r="D65" s="241"/>
      <c r="E65" s="242"/>
      <c r="F65" s="242"/>
      <c r="G65" s="242"/>
      <c r="H65" s="243"/>
      <c r="I65" s="175"/>
      <c r="J65" s="177"/>
      <c r="T65" s="9"/>
      <c r="U65" s="9"/>
      <c r="V65" s="9"/>
      <c r="W65" s="9"/>
    </row>
    <row r="66" spans="2:23" ht="15.75" thickBot="1" x14ac:dyDescent="0.3">
      <c r="B66" s="190"/>
      <c r="C66" s="185"/>
      <c r="D66" s="185"/>
      <c r="E66" s="191"/>
      <c r="F66" s="191"/>
      <c r="G66" s="191"/>
      <c r="H66" s="192"/>
      <c r="I66" s="7"/>
      <c r="J66" s="7"/>
      <c r="T66" s="9"/>
      <c r="U66" s="9"/>
      <c r="V66" s="9"/>
      <c r="W66" s="9"/>
    </row>
    <row r="67" spans="2:23" s="160" customFormat="1" ht="15.75" thickBot="1" x14ac:dyDescent="0.3">
      <c r="N67" s="163"/>
      <c r="O67" s="164"/>
      <c r="P67" s="164"/>
      <c r="Q67" s="164"/>
      <c r="R67" s="165"/>
      <c r="S67" s="165"/>
      <c r="T67" s="165"/>
      <c r="U67" s="165"/>
      <c r="V67" s="165"/>
      <c r="W67" s="165"/>
    </row>
    <row r="68" spans="2:23" s="160" customFormat="1" ht="2.4500000000000002" customHeight="1" thickBot="1" x14ac:dyDescent="0.3">
      <c r="I68" s="161"/>
      <c r="J68" s="162"/>
      <c r="N68" s="163"/>
      <c r="O68" s="164"/>
      <c r="P68" s="164"/>
      <c r="Q68" s="164"/>
      <c r="R68" s="165"/>
      <c r="S68" s="165"/>
      <c r="T68" s="165"/>
      <c r="U68" s="165"/>
      <c r="V68" s="165"/>
      <c r="W68" s="165"/>
    </row>
    <row r="69" spans="2:23" s="7" customFormat="1" ht="15.75" thickBot="1" x14ac:dyDescent="0.3">
      <c r="I69" s="23"/>
      <c r="J69" s="24"/>
      <c r="N69" s="11"/>
      <c r="O69" s="10"/>
      <c r="P69" s="10"/>
      <c r="Q69" s="10"/>
      <c r="R69" s="9"/>
      <c r="S69" s="9"/>
      <c r="T69" s="9"/>
      <c r="U69" s="9"/>
      <c r="V69" s="9"/>
      <c r="W69" s="9"/>
    </row>
    <row r="70" spans="2:23" s="7" customFormat="1" ht="30" customHeight="1" thickBot="1" x14ac:dyDescent="0.3">
      <c r="B70" s="222" t="s">
        <v>193</v>
      </c>
      <c r="C70" s="223"/>
      <c r="D70" s="223"/>
      <c r="E70" s="223"/>
      <c r="F70" s="223"/>
      <c r="G70" s="157"/>
      <c r="H70" s="150" t="s">
        <v>195</v>
      </c>
      <c r="I70" s="23"/>
      <c r="J70" s="24"/>
      <c r="N70" s="11"/>
      <c r="O70" s="10"/>
      <c r="P70" s="10"/>
      <c r="Q70" s="10"/>
      <c r="R70" s="9"/>
      <c r="S70" s="9"/>
      <c r="T70" s="9"/>
      <c r="U70" s="9"/>
      <c r="V70" s="9"/>
      <c r="W70" s="9"/>
    </row>
    <row r="71" spans="2:23" s="7" customFormat="1" x14ac:dyDescent="0.25">
      <c r="I71" s="23"/>
      <c r="J71" s="24"/>
      <c r="N71" s="11"/>
      <c r="O71" s="10"/>
      <c r="P71" s="10"/>
      <c r="Q71" s="10"/>
      <c r="R71" s="9"/>
      <c r="S71" s="9"/>
      <c r="T71" s="9"/>
      <c r="U71" s="9"/>
      <c r="V71" s="9"/>
      <c r="W71" s="9"/>
    </row>
    <row r="72" spans="2:23" ht="21" x14ac:dyDescent="0.35">
      <c r="B72" s="227" t="s">
        <v>182</v>
      </c>
      <c r="C72" s="227"/>
      <c r="D72" s="227"/>
      <c r="E72" s="227"/>
      <c r="F72" s="227"/>
      <c r="G72" s="227"/>
      <c r="H72" s="227"/>
      <c r="I72" s="23"/>
      <c r="J72" s="24"/>
      <c r="K72" s="7"/>
      <c r="L72" s="7"/>
      <c r="M72" s="7"/>
      <c r="N72" s="11"/>
      <c r="O72" s="10"/>
      <c r="P72" s="10"/>
      <c r="Q72" s="10"/>
      <c r="R72" s="9"/>
      <c r="S72" s="9"/>
      <c r="T72" s="9"/>
      <c r="U72" s="9"/>
      <c r="V72" s="9"/>
      <c r="W72" s="9"/>
    </row>
    <row r="73" spans="2:23" ht="15.75" thickBot="1" x14ac:dyDescent="0.3">
      <c r="B73" s="5"/>
      <c r="C73" s="7"/>
      <c r="D73" s="8"/>
      <c r="E73" s="8"/>
      <c r="F73" s="8"/>
      <c r="G73" s="8"/>
      <c r="H73" s="10"/>
      <c r="I73" s="10"/>
      <c r="J73" s="10"/>
      <c r="K73" s="10"/>
      <c r="L73" s="11"/>
      <c r="M73" s="11"/>
      <c r="N73" s="11"/>
      <c r="O73" s="10"/>
      <c r="P73" s="10"/>
      <c r="Q73" s="10"/>
      <c r="R73" s="9"/>
      <c r="S73" s="9"/>
      <c r="T73" s="9"/>
      <c r="U73" s="9"/>
      <c r="V73" s="9"/>
      <c r="W73" s="9"/>
    </row>
    <row r="74" spans="2:23" x14ac:dyDescent="0.25">
      <c r="B74" s="118"/>
      <c r="C74" s="119"/>
      <c r="D74" s="145" t="s">
        <v>7</v>
      </c>
      <c r="E74" s="145" t="s">
        <v>8</v>
      </c>
      <c r="F74" s="145" t="s">
        <v>9</v>
      </c>
      <c r="G74" s="145"/>
      <c r="H74" s="145" t="s">
        <v>10</v>
      </c>
      <c r="I74" s="145" t="s">
        <v>24</v>
      </c>
      <c r="J74" s="145" t="s">
        <v>26</v>
      </c>
      <c r="K74" s="120"/>
      <c r="L74" s="7"/>
      <c r="M74" s="7"/>
      <c r="N74" s="7"/>
      <c r="O74" s="10"/>
      <c r="P74" s="10"/>
      <c r="Q74" s="10"/>
      <c r="R74" s="9"/>
      <c r="S74" s="9"/>
      <c r="T74" s="9"/>
      <c r="U74" s="9"/>
      <c r="V74" s="9"/>
      <c r="W74" s="9"/>
    </row>
    <row r="75" spans="2:23" x14ac:dyDescent="0.25">
      <c r="B75" s="109"/>
      <c r="C75" s="144" t="s">
        <v>57</v>
      </c>
      <c r="D75" s="144" t="s">
        <v>11</v>
      </c>
      <c r="E75" s="144" t="s">
        <v>12</v>
      </c>
      <c r="F75" s="144" t="s">
        <v>13</v>
      </c>
      <c r="G75" s="144"/>
      <c r="H75" s="144" t="s">
        <v>14</v>
      </c>
      <c r="I75" s="144" t="s">
        <v>25</v>
      </c>
      <c r="J75" s="144" t="s">
        <v>27</v>
      </c>
      <c r="K75" s="146" t="s">
        <v>3</v>
      </c>
      <c r="L75" s="7"/>
      <c r="M75" s="7"/>
      <c r="N75" s="7"/>
      <c r="O75" s="11"/>
      <c r="P75" s="10"/>
      <c r="Q75" s="10"/>
      <c r="R75" s="9"/>
      <c r="S75" s="9"/>
      <c r="T75" s="9"/>
      <c r="U75" s="9"/>
      <c r="V75" s="9"/>
      <c r="W75" s="9"/>
    </row>
    <row r="76" spans="2:23" ht="15.75" thickBot="1" x14ac:dyDescent="0.3">
      <c r="B76" s="143" t="s">
        <v>4</v>
      </c>
      <c r="C76" s="121">
        <f>SUM(C17:C27)</f>
        <v>0</v>
      </c>
      <c r="D76" s="122" t="e">
        <f>SUM(T17:T27)/C76</f>
        <v>#DIV/0!</v>
      </c>
      <c r="E76" s="122" t="e">
        <f>SUM(U17:U27)/C76</f>
        <v>#DIV/0!</v>
      </c>
      <c r="F76" s="122" t="e">
        <f>SUM(V17:V27)/D76</f>
        <v>#DIV/0!</v>
      </c>
      <c r="G76" s="122"/>
      <c r="H76" s="123"/>
      <c r="I76" s="124">
        <f>SUM(N17:N27)</f>
        <v>0</v>
      </c>
      <c r="J76" s="124">
        <f>SUM(P17:P27)</f>
        <v>0</v>
      </c>
      <c r="K76" s="125" t="e">
        <f>SUM(V17:V27)/SUM(W17:W27)</f>
        <v>#DIV/0!</v>
      </c>
      <c r="L76" s="7"/>
      <c r="M76" s="7"/>
      <c r="N76" s="7"/>
      <c r="O76" s="11"/>
      <c r="P76" s="10"/>
      <c r="Q76" s="10"/>
      <c r="R76" s="9"/>
      <c r="S76" s="9"/>
      <c r="T76" s="9"/>
      <c r="U76" s="9"/>
      <c r="V76" s="9"/>
      <c r="W76" s="9"/>
    </row>
    <row r="77" spans="2:23" ht="15.75" thickBot="1" x14ac:dyDescent="0.3">
      <c r="B77" s="5"/>
      <c r="C77" s="7"/>
      <c r="D77" s="8"/>
      <c r="E77" s="8"/>
      <c r="F77" s="8"/>
      <c r="G77" s="8"/>
      <c r="H77" s="10"/>
      <c r="I77" s="10"/>
      <c r="J77" s="10"/>
      <c r="K77" s="10"/>
      <c r="L77" s="11"/>
      <c r="M77" s="11"/>
      <c r="N77" s="11"/>
      <c r="O77" s="11"/>
      <c r="P77" s="10"/>
      <c r="Q77" s="10"/>
      <c r="R77" s="9"/>
      <c r="S77" s="9"/>
      <c r="T77" s="9"/>
      <c r="U77" s="9"/>
      <c r="V77" s="9"/>
      <c r="W77" s="9"/>
    </row>
    <row r="78" spans="2:23" ht="15.75" x14ac:dyDescent="0.25">
      <c r="B78" s="118"/>
      <c r="C78" s="126" t="s">
        <v>1</v>
      </c>
      <c r="D78" s="127"/>
      <c r="E78" s="128"/>
      <c r="F78" s="127"/>
      <c r="G78" s="127"/>
      <c r="H78" s="127"/>
      <c r="I78" s="127"/>
      <c r="J78" s="127"/>
      <c r="K78" s="127"/>
      <c r="L78" s="127"/>
      <c r="M78" s="129"/>
      <c r="O78" s="11"/>
      <c r="P78" s="10"/>
      <c r="Q78" s="10"/>
    </row>
    <row r="79" spans="2:23" ht="15.75" x14ac:dyDescent="0.25">
      <c r="B79" s="109"/>
      <c r="C79" s="201" t="s">
        <v>194</v>
      </c>
      <c r="D79" s="83"/>
      <c r="E79" s="110"/>
      <c r="F79" s="83"/>
      <c r="G79" s="83"/>
      <c r="H79" s="83"/>
      <c r="I79" s="83"/>
      <c r="J79" s="83"/>
      <c r="K79" s="83"/>
      <c r="L79" s="83"/>
      <c r="M79" s="111"/>
      <c r="O79" s="11"/>
      <c r="P79" s="10"/>
      <c r="Q79" s="10"/>
    </row>
    <row r="80" spans="2:23" ht="15.75" x14ac:dyDescent="0.25">
      <c r="B80" s="109"/>
      <c r="C80" s="130"/>
      <c r="D80" s="83"/>
      <c r="E80" s="110"/>
      <c r="F80" s="83"/>
      <c r="G80" s="83"/>
      <c r="H80" s="83"/>
      <c r="I80" s="83"/>
      <c r="J80" s="83"/>
      <c r="K80" s="83"/>
      <c r="L80" s="83"/>
      <c r="M80" s="111"/>
      <c r="O80" s="11"/>
      <c r="P80" s="10"/>
      <c r="Q80" s="10"/>
    </row>
    <row r="81" spans="2:13" x14ac:dyDescent="0.25">
      <c r="B81" s="109"/>
      <c r="C81" s="110"/>
      <c r="D81" s="83"/>
      <c r="E81" s="83"/>
      <c r="F81" s="83"/>
      <c r="G81" s="83"/>
      <c r="H81" s="110" t="s">
        <v>119</v>
      </c>
      <c r="I81" s="83"/>
      <c r="J81" s="83"/>
      <c r="K81" s="83"/>
      <c r="L81" s="83"/>
      <c r="M81" s="111"/>
    </row>
    <row r="82" spans="2:13" x14ac:dyDescent="0.25">
      <c r="B82" s="109"/>
      <c r="C82" s="200" t="s">
        <v>183</v>
      </c>
      <c r="D82" s="112"/>
      <c r="E82" s="83"/>
      <c r="F82" s="83"/>
      <c r="G82" s="83"/>
      <c r="H82" s="83"/>
      <c r="I82" s="83"/>
      <c r="J82" s="83"/>
      <c r="K82" s="83"/>
      <c r="L82" s="83"/>
      <c r="M82" s="111"/>
    </row>
    <row r="83" spans="2:13" x14ac:dyDescent="0.25">
      <c r="B83" s="109"/>
      <c r="C83" s="83"/>
      <c r="D83" s="112" t="s">
        <v>39</v>
      </c>
      <c r="E83" s="83" t="s">
        <v>40</v>
      </c>
      <c r="F83" s="83"/>
      <c r="G83" s="83"/>
      <c r="H83" s="83"/>
      <c r="I83" s="83"/>
      <c r="J83" s="83"/>
      <c r="K83" s="83"/>
      <c r="L83" s="83"/>
      <c r="M83" s="111"/>
    </row>
    <row r="84" spans="2:13" x14ac:dyDescent="0.25">
      <c r="B84" s="109"/>
      <c r="C84" s="83" t="s">
        <v>45</v>
      </c>
      <c r="D84" s="14">
        <v>0.05</v>
      </c>
      <c r="E84" s="14">
        <v>0.15</v>
      </c>
      <c r="F84" s="83"/>
      <c r="G84" s="83"/>
      <c r="H84" s="83" t="s">
        <v>170</v>
      </c>
      <c r="I84" s="83"/>
      <c r="J84" s="83"/>
      <c r="K84" s="83"/>
      <c r="L84" s="83"/>
      <c r="M84" s="111"/>
    </row>
    <row r="85" spans="2:13" x14ac:dyDescent="0.25">
      <c r="B85" s="109"/>
      <c r="C85" s="83" t="s">
        <v>60</v>
      </c>
      <c r="D85" s="14">
        <v>16</v>
      </c>
      <c r="E85" s="14">
        <v>35</v>
      </c>
      <c r="F85" s="83"/>
      <c r="G85" s="83"/>
      <c r="H85" s="131" t="s">
        <v>171</v>
      </c>
      <c r="I85" s="131"/>
      <c r="J85" s="131"/>
      <c r="K85" s="131"/>
      <c r="L85" s="131"/>
      <c r="M85" s="149"/>
    </row>
    <row r="86" spans="2:13" x14ac:dyDescent="0.25">
      <c r="B86" s="109"/>
      <c r="C86" s="83" t="s">
        <v>61</v>
      </c>
      <c r="D86" s="14">
        <v>6</v>
      </c>
      <c r="E86" s="14">
        <v>45</v>
      </c>
      <c r="F86" s="83"/>
      <c r="G86" s="83"/>
      <c r="H86" s="131" t="s">
        <v>124</v>
      </c>
      <c r="I86" s="131"/>
      <c r="J86" s="131"/>
      <c r="K86" s="131"/>
      <c r="L86" s="131"/>
      <c r="M86" s="149"/>
    </row>
    <row r="87" spans="2:13" x14ac:dyDescent="0.25">
      <c r="B87" s="109"/>
      <c r="C87" s="83"/>
      <c r="D87" s="83"/>
      <c r="E87" s="83"/>
      <c r="F87" s="83"/>
      <c r="G87" s="83"/>
      <c r="H87" s="131"/>
      <c r="I87" s="131"/>
      <c r="J87" s="131"/>
      <c r="K87" s="131"/>
      <c r="L87" s="131"/>
      <c r="M87" s="149"/>
    </row>
    <row r="88" spans="2:13" ht="15" customHeight="1" x14ac:dyDescent="0.25">
      <c r="B88" s="109"/>
      <c r="C88" s="83" t="s">
        <v>55</v>
      </c>
      <c r="D88" s="83">
        <v>6.7</v>
      </c>
      <c r="E88" s="83">
        <v>7.5</v>
      </c>
      <c r="F88" s="131"/>
      <c r="G88" s="131"/>
      <c r="H88" s="229" t="s">
        <v>147</v>
      </c>
      <c r="I88" s="229"/>
      <c r="J88" s="229"/>
      <c r="K88" s="229"/>
      <c r="L88" s="229"/>
      <c r="M88" s="230"/>
    </row>
    <row r="89" spans="2:13" x14ac:dyDescent="0.25">
      <c r="B89" s="109"/>
      <c r="C89" s="83" t="s">
        <v>56</v>
      </c>
      <c r="D89" s="83">
        <v>15</v>
      </c>
      <c r="E89" s="83">
        <v>40</v>
      </c>
      <c r="F89" s="113"/>
      <c r="G89" s="113"/>
      <c r="H89" s="221" t="s">
        <v>129</v>
      </c>
      <c r="I89" s="221"/>
      <c r="J89" s="132"/>
      <c r="K89" s="132"/>
      <c r="L89" s="132"/>
      <c r="M89" s="133"/>
    </row>
    <row r="90" spans="2:13" x14ac:dyDescent="0.25">
      <c r="B90" s="109"/>
      <c r="C90" s="83"/>
      <c r="D90" s="83"/>
      <c r="E90" s="83"/>
      <c r="F90" s="83"/>
      <c r="G90" s="83"/>
      <c r="H90" s="131"/>
      <c r="I90" s="131"/>
      <c r="J90" s="131"/>
      <c r="K90" s="131"/>
      <c r="L90" s="131"/>
      <c r="M90" s="149"/>
    </row>
    <row r="91" spans="2:13" x14ac:dyDescent="0.25">
      <c r="B91" s="109"/>
      <c r="C91" s="110" t="s">
        <v>51</v>
      </c>
      <c r="D91" s="83"/>
      <c r="E91" s="83"/>
      <c r="F91" s="83"/>
      <c r="G91" s="83"/>
      <c r="H91" s="131"/>
      <c r="I91" s="131"/>
      <c r="J91" s="131"/>
      <c r="K91" s="131"/>
      <c r="L91" s="131"/>
      <c r="M91" s="149"/>
    </row>
    <row r="92" spans="2:13" x14ac:dyDescent="0.25">
      <c r="B92" s="109"/>
      <c r="C92" s="83"/>
      <c r="D92" s="83"/>
      <c r="E92" s="83"/>
      <c r="F92" s="83"/>
      <c r="G92" s="83"/>
      <c r="H92" s="131"/>
      <c r="I92" s="131"/>
      <c r="J92" s="131"/>
      <c r="K92" s="131"/>
      <c r="L92" s="131"/>
      <c r="M92" s="149"/>
    </row>
    <row r="93" spans="2:13" ht="42.95" customHeight="1" x14ac:dyDescent="0.25">
      <c r="B93" s="109"/>
      <c r="C93" s="134" t="s">
        <v>125</v>
      </c>
      <c r="D93" s="49">
        <v>0.6</v>
      </c>
      <c r="E93" s="83"/>
      <c r="F93" s="83"/>
      <c r="G93" s="83"/>
      <c r="H93" s="221" t="s">
        <v>128</v>
      </c>
      <c r="I93" s="221"/>
      <c r="J93" s="221"/>
      <c r="K93" s="221"/>
      <c r="L93" s="221"/>
      <c r="M93" s="236"/>
    </row>
    <row r="94" spans="2:13" ht="32.25" x14ac:dyDescent="0.25">
      <c r="B94" s="109"/>
      <c r="C94" s="135" t="s">
        <v>169</v>
      </c>
      <c r="D94" s="13">
        <v>0.55000000000000004</v>
      </c>
      <c r="E94" s="82"/>
      <c r="F94" s="83"/>
      <c r="G94" s="83"/>
      <c r="H94" s="131" t="s">
        <v>146</v>
      </c>
      <c r="I94" s="131"/>
      <c r="J94" s="131"/>
      <c r="K94" s="131"/>
      <c r="L94" s="131"/>
      <c r="M94" s="149"/>
    </row>
    <row r="95" spans="2:13" x14ac:dyDescent="0.25">
      <c r="B95" s="109"/>
      <c r="C95" s="82" t="s">
        <v>126</v>
      </c>
      <c r="D95" s="13">
        <v>1</v>
      </c>
      <c r="E95" s="82"/>
      <c r="F95" s="83"/>
      <c r="G95" s="83"/>
      <c r="H95" s="83"/>
      <c r="I95" s="83"/>
      <c r="J95" s="83"/>
      <c r="K95" s="83"/>
      <c r="L95" s="83"/>
      <c r="M95" s="111"/>
    </row>
    <row r="96" spans="2:13" x14ac:dyDescent="0.25">
      <c r="B96" s="109"/>
      <c r="C96" s="83" t="s">
        <v>127</v>
      </c>
      <c r="D96" s="3">
        <v>30</v>
      </c>
      <c r="E96" s="83"/>
      <c r="F96" s="83"/>
      <c r="G96" s="83"/>
      <c r="H96" s="83" t="s">
        <v>68</v>
      </c>
      <c r="I96" s="83"/>
      <c r="J96" s="83"/>
      <c r="K96" s="83"/>
      <c r="L96" s="83"/>
      <c r="M96" s="111"/>
    </row>
    <row r="97" spans="2:13" x14ac:dyDescent="0.25">
      <c r="B97" s="109"/>
      <c r="C97" s="83" t="s">
        <v>62</v>
      </c>
      <c r="D97" s="3">
        <v>1.1499999999999999</v>
      </c>
      <c r="E97" s="83"/>
      <c r="F97" s="83"/>
      <c r="G97" s="83"/>
      <c r="H97" s="83" t="s">
        <v>69</v>
      </c>
      <c r="I97" s="83"/>
      <c r="J97" s="83"/>
      <c r="K97" s="83"/>
      <c r="L97" s="83"/>
      <c r="M97" s="111"/>
    </row>
    <row r="98" spans="2:13" x14ac:dyDescent="0.25">
      <c r="B98" s="109"/>
      <c r="C98" s="83"/>
      <c r="D98" s="83"/>
      <c r="E98" s="83"/>
      <c r="F98" s="83"/>
      <c r="G98" s="83"/>
      <c r="H98" s="83"/>
      <c r="I98" s="83"/>
      <c r="J98" s="83"/>
      <c r="K98" s="83"/>
      <c r="L98" s="83"/>
      <c r="M98" s="111"/>
    </row>
    <row r="99" spans="2:13" x14ac:dyDescent="0.25">
      <c r="B99" s="109"/>
      <c r="C99" s="110" t="s">
        <v>135</v>
      </c>
      <c r="D99" s="83"/>
      <c r="E99" s="83"/>
      <c r="F99" s="83"/>
      <c r="G99" s="83"/>
      <c r="H99" s="83"/>
      <c r="I99" s="83"/>
      <c r="J99" s="83"/>
      <c r="K99" s="83"/>
      <c r="L99" s="83"/>
      <c r="M99" s="111"/>
    </row>
    <row r="100" spans="2:13" x14ac:dyDescent="0.25">
      <c r="B100" s="109"/>
      <c r="C100" s="136"/>
      <c r="D100" s="83"/>
      <c r="E100" s="83"/>
      <c r="F100" s="83"/>
      <c r="G100" s="83"/>
      <c r="H100" s="83"/>
      <c r="I100" s="83"/>
      <c r="J100" s="83"/>
      <c r="K100" s="83"/>
      <c r="L100" s="83"/>
      <c r="M100" s="111"/>
    </row>
    <row r="101" spans="2:13" ht="30" x14ac:dyDescent="0.25">
      <c r="B101" s="109"/>
      <c r="C101" s="136" t="s">
        <v>120</v>
      </c>
      <c r="D101" s="3">
        <f>AVERAGE(200,450)</f>
        <v>325</v>
      </c>
      <c r="E101" s="137"/>
      <c r="F101" s="83"/>
      <c r="G101" s="83"/>
      <c r="H101" s="83" t="s">
        <v>74</v>
      </c>
      <c r="I101" s="83"/>
      <c r="J101" s="83"/>
      <c r="K101" s="83"/>
      <c r="L101" s="83"/>
      <c r="M101" s="111"/>
    </row>
    <row r="102" spans="2:13" x14ac:dyDescent="0.25">
      <c r="B102" s="109"/>
      <c r="C102" s="136"/>
      <c r="D102" s="137"/>
      <c r="E102" s="137"/>
      <c r="F102" s="83"/>
      <c r="G102" s="83"/>
      <c r="H102" s="83"/>
      <c r="I102" s="83"/>
      <c r="J102" s="83"/>
      <c r="K102" s="83"/>
      <c r="L102" s="83"/>
      <c r="M102" s="111"/>
    </row>
    <row r="103" spans="2:13" x14ac:dyDescent="0.25">
      <c r="B103" s="109"/>
      <c r="C103" s="110" t="s">
        <v>134</v>
      </c>
      <c r="D103" s="137"/>
      <c r="E103" s="137"/>
      <c r="F103" s="83"/>
      <c r="G103" s="83"/>
      <c r="H103" s="83"/>
      <c r="I103" s="83"/>
      <c r="J103" s="83"/>
      <c r="K103" s="83"/>
      <c r="L103" s="83"/>
      <c r="M103" s="111"/>
    </row>
    <row r="104" spans="2:13" x14ac:dyDescent="0.25">
      <c r="B104" s="109"/>
      <c r="C104" s="83"/>
      <c r="D104" s="83"/>
      <c r="E104" s="83"/>
      <c r="F104" s="83"/>
      <c r="G104" s="83"/>
      <c r="H104" s="83"/>
      <c r="I104" s="83"/>
      <c r="J104" s="83"/>
      <c r="K104" s="83"/>
      <c r="L104" s="83"/>
      <c r="M104" s="111"/>
    </row>
    <row r="105" spans="2:13" x14ac:dyDescent="0.25">
      <c r="B105" s="109"/>
      <c r="C105" s="83"/>
      <c r="D105" s="83" t="s">
        <v>32</v>
      </c>
      <c r="E105" s="83" t="s">
        <v>33</v>
      </c>
      <c r="F105" s="83"/>
      <c r="G105" s="83"/>
      <c r="H105" s="83"/>
      <c r="I105" s="83"/>
      <c r="J105" s="83"/>
      <c r="K105" s="83"/>
      <c r="L105" s="83"/>
      <c r="M105" s="111"/>
    </row>
    <row r="106" spans="2:13" ht="30" x14ac:dyDescent="0.25">
      <c r="B106" s="109"/>
      <c r="C106" s="136" t="s">
        <v>41</v>
      </c>
      <c r="D106" s="3">
        <v>1</v>
      </c>
      <c r="E106" s="3">
        <v>1</v>
      </c>
      <c r="F106" s="83"/>
      <c r="G106" s="83"/>
      <c r="H106" s="83" t="s">
        <v>68</v>
      </c>
      <c r="I106" s="83"/>
      <c r="J106" s="83"/>
      <c r="K106" s="83"/>
      <c r="L106" s="83"/>
      <c r="M106" s="111"/>
    </row>
    <row r="107" spans="2:13" ht="30" x14ac:dyDescent="0.25">
      <c r="B107" s="109"/>
      <c r="C107" s="136" t="s">
        <v>42</v>
      </c>
      <c r="D107" s="3">
        <v>1</v>
      </c>
      <c r="E107" s="15">
        <v>2</v>
      </c>
      <c r="F107" s="83"/>
      <c r="G107" s="83"/>
      <c r="H107" s="228" t="s">
        <v>75</v>
      </c>
      <c r="I107" s="228"/>
      <c r="J107" s="228"/>
      <c r="K107" s="83"/>
      <c r="L107" s="83"/>
      <c r="M107" s="111"/>
    </row>
    <row r="108" spans="2:13" ht="47.25" x14ac:dyDescent="0.25">
      <c r="B108" s="109"/>
      <c r="C108" s="203" t="s">
        <v>196</v>
      </c>
      <c r="D108" s="17">
        <v>100</v>
      </c>
      <c r="E108" s="18">
        <v>530</v>
      </c>
      <c r="F108" s="83"/>
      <c r="G108" s="83"/>
      <c r="H108" s="83" t="s">
        <v>68</v>
      </c>
      <c r="I108" s="83"/>
      <c r="J108" s="83"/>
      <c r="K108" s="83"/>
      <c r="L108" s="83"/>
      <c r="M108" s="111"/>
    </row>
    <row r="109" spans="2:13" ht="30" x14ac:dyDescent="0.25">
      <c r="B109" s="109"/>
      <c r="C109" s="136" t="s">
        <v>34</v>
      </c>
      <c r="D109" s="3">
        <v>30</v>
      </c>
      <c r="E109" s="3">
        <v>55</v>
      </c>
      <c r="F109" s="83"/>
      <c r="G109" s="83"/>
      <c r="H109" s="83" t="s">
        <v>68</v>
      </c>
      <c r="I109" s="83"/>
      <c r="J109" s="83"/>
      <c r="K109" s="83"/>
      <c r="L109" s="83"/>
      <c r="M109" s="111"/>
    </row>
    <row r="110" spans="2:13" x14ac:dyDescent="0.25">
      <c r="B110" s="109"/>
      <c r="C110" s="136"/>
      <c r="D110" s="112"/>
      <c r="E110" s="112"/>
      <c r="F110" s="137"/>
      <c r="G110" s="137"/>
      <c r="H110" s="83"/>
      <c r="I110" s="83"/>
      <c r="J110" s="83"/>
      <c r="K110" s="83"/>
      <c r="L110" s="83"/>
      <c r="M110" s="111"/>
    </row>
    <row r="111" spans="2:13" ht="15.75" thickBot="1" x14ac:dyDescent="0.3">
      <c r="B111" s="114"/>
      <c r="C111" s="115"/>
      <c r="D111" s="115"/>
      <c r="E111" s="115"/>
      <c r="F111" s="115"/>
      <c r="G111" s="115"/>
      <c r="H111" s="115"/>
      <c r="I111" s="115"/>
      <c r="J111" s="115"/>
      <c r="K111" s="115"/>
      <c r="L111" s="115"/>
      <c r="M111" s="117"/>
    </row>
    <row r="112" spans="2:13"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spans="3:3" hidden="1" x14ac:dyDescent="0.25"/>
    <row r="130" spans="3:3" hidden="1" x14ac:dyDescent="0.25"/>
    <row r="131" spans="3:3" hidden="1" x14ac:dyDescent="0.25"/>
    <row r="132" spans="3:3" hidden="1" x14ac:dyDescent="0.25"/>
    <row r="133" spans="3:3" hidden="1" x14ac:dyDescent="0.25"/>
    <row r="134" spans="3:3" hidden="1" x14ac:dyDescent="0.25"/>
    <row r="135" spans="3:3" hidden="1" x14ac:dyDescent="0.25"/>
    <row r="136" spans="3:3" hidden="1" x14ac:dyDescent="0.25"/>
    <row r="137" spans="3:3" hidden="1" x14ac:dyDescent="0.25"/>
    <row r="138" spans="3:3" hidden="1" x14ac:dyDescent="0.25"/>
    <row r="139" spans="3:3" hidden="1" x14ac:dyDescent="0.25"/>
    <row r="140" spans="3:3" hidden="1" x14ac:dyDescent="0.25"/>
    <row r="141" spans="3:3" hidden="1" x14ac:dyDescent="0.25">
      <c r="C141" s="16"/>
    </row>
    <row r="142" spans="3:3" hidden="1" x14ac:dyDescent="0.25"/>
    <row r="143" spans="3:3" hidden="1" x14ac:dyDescent="0.25"/>
    <row r="144" spans="3:3"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x14ac:dyDescent="0.25"/>
    <row r="178" x14ac:dyDescent="0.25"/>
    <row r="179" x14ac:dyDescent="0.25"/>
    <row r="180" x14ac:dyDescent="0.25"/>
    <row r="181" x14ac:dyDescent="0.25"/>
  </sheetData>
  <mergeCells count="37">
    <mergeCell ref="B9:I9"/>
    <mergeCell ref="B3:D5"/>
    <mergeCell ref="B2:D2"/>
    <mergeCell ref="B51:H51"/>
    <mergeCell ref="B56:C56"/>
    <mergeCell ref="D56:H56"/>
    <mergeCell ref="B32:B35"/>
    <mergeCell ref="B37:B38"/>
    <mergeCell ref="C32:H33"/>
    <mergeCell ref="C34:H35"/>
    <mergeCell ref="C37:H38"/>
    <mergeCell ref="B7:D8"/>
    <mergeCell ref="B11:C11"/>
    <mergeCell ref="B29:C29"/>
    <mergeCell ref="B15:B16"/>
    <mergeCell ref="C15:C16"/>
    <mergeCell ref="H107:J107"/>
    <mergeCell ref="H88:M88"/>
    <mergeCell ref="B55:C55"/>
    <mergeCell ref="B41:B44"/>
    <mergeCell ref="H93:M93"/>
    <mergeCell ref="B46:C46"/>
    <mergeCell ref="E61:H62"/>
    <mergeCell ref="B64:B65"/>
    <mergeCell ref="C64:C65"/>
    <mergeCell ref="D64:D65"/>
    <mergeCell ref="E64:H65"/>
    <mergeCell ref="B40:D40"/>
    <mergeCell ref="D15:E15"/>
    <mergeCell ref="C41:D44"/>
    <mergeCell ref="H89:I89"/>
    <mergeCell ref="B70:F70"/>
    <mergeCell ref="D57:F57"/>
    <mergeCell ref="D58:F58"/>
    <mergeCell ref="B61:B62"/>
    <mergeCell ref="C61:C62"/>
    <mergeCell ref="B72:H72"/>
  </mergeCells>
  <conditionalFormatting sqref="C41">
    <cfRule type="cellIs" dxfId="5" priority="8" operator="equal">
      <formula>"No"</formula>
    </cfRule>
  </conditionalFormatting>
  <conditionalFormatting sqref="C37 I37:J38">
    <cfRule type="containsText" dxfId="4" priority="6" operator="containsText" text="Optimal">
      <formula>NOT(ISERROR(SEARCH("Optimal",C37)))</formula>
    </cfRule>
    <cfRule type="containsText" dxfId="3" priority="7" operator="containsText" text="Acceptable">
      <formula>NOT(ISERROR(SEARCH("Acceptable",C37)))</formula>
    </cfRule>
  </conditionalFormatting>
  <conditionalFormatting sqref="C32 I32:J33">
    <cfRule type="containsText" dxfId="2" priority="5" operator="containsText" text="Optimal">
      <formula>NOT(ISERROR(SEARCH("Optimal",C32)))</formula>
    </cfRule>
  </conditionalFormatting>
  <conditionalFormatting sqref="J15:W27">
    <cfRule type="expression" dxfId="1" priority="4">
      <formula>$H$70="No"</formula>
    </cfRule>
  </conditionalFormatting>
  <conditionalFormatting sqref="B72:M111">
    <cfRule type="expression" dxfId="0" priority="1">
      <formula>$H$70="No"</formula>
    </cfRule>
  </conditionalFormatting>
  <dataValidations count="1">
    <dataValidation type="list" allowBlank="1" showInputMessage="1" showErrorMessage="1" sqref="H70">
      <formula1>"Yes,No"</formula1>
    </dataValidation>
  </dataValidations>
  <pageMargins left="0.7" right="0.7" top="0.75" bottom="0.75" header="0.3" footer="0.3"/>
  <pageSetup paperSize="9" scale="2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 Feedstock database'!$B$16:$B$35</xm:f>
          </x14:formula1>
          <xm:sqref>B17:B27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Y116"/>
  <sheetViews>
    <sheetView zoomScale="55" zoomScaleNormal="55" workbookViewId="0">
      <selection activeCell="B4" sqref="B4"/>
    </sheetView>
  </sheetViews>
  <sheetFormatPr defaultColWidth="0" defaultRowHeight="15" zeroHeight="1" x14ac:dyDescent="0.25"/>
  <cols>
    <col min="1" max="1" width="9.140625" style="1" customWidth="1"/>
    <col min="2" max="2" width="24" style="1" customWidth="1"/>
    <col min="3" max="3" width="12.85546875" style="6" bestFit="1" customWidth="1"/>
    <col min="4" max="4" width="13.85546875" style="6" bestFit="1" customWidth="1"/>
    <col min="5" max="5" width="14.85546875" style="6" hidden="1" customWidth="1"/>
    <col min="6" max="6" width="14.85546875" style="6" customWidth="1"/>
    <col min="7" max="8" width="15.7109375" style="1" customWidth="1"/>
    <col min="9" max="9" width="17.140625" style="1" customWidth="1"/>
    <col min="10" max="11" width="15.7109375" style="1" customWidth="1"/>
    <col min="12" max="14" width="9.140625" style="1" customWidth="1"/>
    <col min="15" max="15" width="95.5703125" style="6" customWidth="1"/>
    <col min="16" max="16" width="26.5703125" style="6" customWidth="1"/>
    <col min="17" max="17" width="13.5703125" style="1" bestFit="1" customWidth="1"/>
    <col min="18" max="24" width="9.140625" style="1" customWidth="1"/>
    <col min="25" max="25" width="0" style="1" hidden="1" customWidth="1"/>
    <col min="26" max="16384" width="9.140625" style="1" hidden="1"/>
  </cols>
  <sheetData>
    <row r="1" spans="1:24" s="26" customFormat="1" x14ac:dyDescent="0.25">
      <c r="A1" s="80"/>
      <c r="B1" s="80"/>
      <c r="C1" s="80"/>
      <c r="D1" s="80"/>
      <c r="E1" s="80"/>
      <c r="F1" s="80"/>
      <c r="G1" s="80"/>
      <c r="H1" s="80"/>
      <c r="I1" s="80"/>
      <c r="J1" s="80"/>
      <c r="K1" s="80"/>
      <c r="L1" s="80"/>
      <c r="M1" s="80"/>
      <c r="N1" s="80"/>
      <c r="O1" s="80"/>
      <c r="P1" s="80"/>
      <c r="Q1" s="80"/>
      <c r="R1" s="80"/>
      <c r="S1" s="80"/>
      <c r="T1" s="80"/>
      <c r="U1" s="80"/>
      <c r="V1" s="80"/>
      <c r="W1" s="80"/>
      <c r="X1" s="80"/>
    </row>
    <row r="2" spans="1:24" s="26" customFormat="1" ht="26.25" x14ac:dyDescent="0.4">
      <c r="A2" s="80"/>
      <c r="B2" s="81" t="s">
        <v>59</v>
      </c>
      <c r="C2" s="80"/>
      <c r="D2" s="80"/>
      <c r="E2" s="80"/>
      <c r="F2" s="80"/>
      <c r="G2" s="80"/>
      <c r="H2" s="80"/>
      <c r="I2" s="80"/>
      <c r="J2" s="80"/>
      <c r="K2" s="80"/>
      <c r="L2" s="80"/>
      <c r="M2" s="80"/>
      <c r="N2" s="80"/>
      <c r="O2" s="80"/>
      <c r="P2" s="80"/>
      <c r="Q2" s="80"/>
      <c r="R2" s="80"/>
      <c r="S2" s="80"/>
      <c r="T2" s="80"/>
      <c r="U2" s="80"/>
      <c r="V2" s="80"/>
      <c r="W2" s="80"/>
      <c r="X2" s="80"/>
    </row>
    <row r="3" spans="1:24" s="26" customFormat="1" x14ac:dyDescent="0.25">
      <c r="A3" s="80"/>
      <c r="B3" s="80"/>
      <c r="C3" s="80"/>
      <c r="D3" s="80"/>
      <c r="E3" s="80"/>
      <c r="F3" s="80"/>
      <c r="G3" s="80"/>
      <c r="H3" s="80"/>
      <c r="I3" s="80"/>
      <c r="J3" s="80"/>
      <c r="K3" s="80"/>
      <c r="L3" s="80"/>
      <c r="M3" s="80"/>
      <c r="N3" s="80"/>
      <c r="O3" s="80"/>
      <c r="P3" s="80"/>
      <c r="Q3" s="80"/>
      <c r="R3" s="80"/>
      <c r="S3" s="80"/>
      <c r="T3" s="80"/>
      <c r="U3" s="80"/>
      <c r="V3" s="80"/>
      <c r="W3" s="80"/>
      <c r="X3" s="80"/>
    </row>
    <row r="4" spans="1:24" s="6" customFormat="1" ht="15.75" x14ac:dyDescent="0.25">
      <c r="B4" s="202" t="s">
        <v>184</v>
      </c>
      <c r="C4" s="52"/>
      <c r="D4" s="52"/>
      <c r="E4" s="52"/>
      <c r="F4" s="52"/>
      <c r="G4" s="52"/>
    </row>
    <row r="5" spans="1:24" s="6" customFormat="1" ht="15.75" x14ac:dyDescent="0.25">
      <c r="B5" s="51" t="s">
        <v>95</v>
      </c>
      <c r="C5" s="52"/>
      <c r="D5" s="52"/>
      <c r="E5" s="52"/>
      <c r="F5" s="52"/>
      <c r="H5" s="53" t="s">
        <v>145</v>
      </c>
    </row>
    <row r="6" spans="1:24" s="6" customFormat="1" ht="15.75" hidden="1" x14ac:dyDescent="0.25">
      <c r="B6" s="52"/>
      <c r="C6" s="52"/>
      <c r="D6" s="52"/>
      <c r="E6" s="52"/>
      <c r="F6" s="52"/>
      <c r="G6" s="53"/>
    </row>
    <row r="7" spans="1:24" s="6" customFormat="1" ht="15.75" hidden="1" x14ac:dyDescent="0.25">
      <c r="B7" s="52"/>
      <c r="C7" s="52"/>
      <c r="D7" s="52"/>
      <c r="E7" s="52"/>
      <c r="F7" s="52"/>
      <c r="G7" s="53"/>
    </row>
    <row r="8" spans="1:24" s="6" customFormat="1" ht="15.75" hidden="1" x14ac:dyDescent="0.25">
      <c r="B8" s="52"/>
      <c r="C8" s="52"/>
      <c r="D8" s="52"/>
      <c r="E8" s="52"/>
      <c r="F8" s="52"/>
      <c r="G8" s="53"/>
    </row>
    <row r="9" spans="1:24" s="6" customFormat="1" ht="15.75" hidden="1" x14ac:dyDescent="0.25">
      <c r="B9" s="52"/>
      <c r="C9" s="52"/>
      <c r="D9" s="52"/>
      <c r="E9" s="52"/>
      <c r="F9" s="52"/>
      <c r="G9" s="53"/>
    </row>
    <row r="10" spans="1:24" s="6" customFormat="1" ht="15.75" hidden="1" x14ac:dyDescent="0.25">
      <c r="B10" s="52"/>
      <c r="C10" s="52"/>
      <c r="D10" s="52"/>
      <c r="E10" s="52"/>
      <c r="F10" s="52"/>
      <c r="G10" s="53"/>
    </row>
    <row r="11" spans="1:24" s="6" customFormat="1" ht="15.75" hidden="1" x14ac:dyDescent="0.25">
      <c r="B11" s="52"/>
      <c r="C11" s="52"/>
      <c r="D11" s="52"/>
      <c r="E11" s="52"/>
      <c r="F11" s="52"/>
      <c r="G11" s="53"/>
    </row>
    <row r="12" spans="1:24" s="6" customFormat="1" ht="15.75" hidden="1" x14ac:dyDescent="0.25">
      <c r="B12" s="52"/>
      <c r="C12" s="52"/>
      <c r="D12" s="52"/>
      <c r="E12" s="52"/>
      <c r="F12" s="52"/>
      <c r="G12" s="53"/>
    </row>
    <row r="13" spans="1:24" s="6" customFormat="1" ht="15.75" x14ac:dyDescent="0.25">
      <c r="B13" s="52"/>
      <c r="C13" s="52"/>
      <c r="D13" s="52"/>
      <c r="E13" s="52"/>
      <c r="F13" s="52"/>
      <c r="G13" s="53"/>
    </row>
    <row r="14" spans="1:24" ht="60" x14ac:dyDescent="0.25">
      <c r="B14" s="2"/>
      <c r="C14" s="28"/>
      <c r="D14" s="28"/>
      <c r="E14" s="28"/>
      <c r="F14" s="28"/>
      <c r="G14" s="64" t="s">
        <v>108</v>
      </c>
      <c r="H14" s="64" t="s">
        <v>109</v>
      </c>
      <c r="I14" s="64" t="s">
        <v>110</v>
      </c>
      <c r="J14" s="64" t="s">
        <v>111</v>
      </c>
      <c r="K14" s="64" t="s">
        <v>96</v>
      </c>
      <c r="L14" s="64" t="s">
        <v>131</v>
      </c>
      <c r="M14" s="64" t="s">
        <v>132</v>
      </c>
      <c r="N14" s="64" t="s">
        <v>133</v>
      </c>
      <c r="O14" s="10"/>
      <c r="P14" s="10"/>
      <c r="Q14" s="2"/>
    </row>
    <row r="15" spans="1:24" ht="30" x14ac:dyDescent="0.25">
      <c r="B15" s="64" t="s">
        <v>0</v>
      </c>
      <c r="C15" s="63" t="s">
        <v>2</v>
      </c>
      <c r="D15" s="63" t="str">
        <f>N15</f>
        <v>C/N ratio</v>
      </c>
      <c r="E15" s="63"/>
      <c r="F15" s="63" t="s">
        <v>64</v>
      </c>
      <c r="G15" s="64" t="s">
        <v>152</v>
      </c>
      <c r="H15" s="64" t="s">
        <v>151</v>
      </c>
      <c r="I15" s="64" t="s">
        <v>150</v>
      </c>
      <c r="J15" s="64" t="s">
        <v>153</v>
      </c>
      <c r="K15" s="64" t="s">
        <v>15</v>
      </c>
      <c r="L15" s="64" t="s">
        <v>43</v>
      </c>
      <c r="M15" s="64" t="s">
        <v>44</v>
      </c>
      <c r="N15" s="64" t="s">
        <v>3</v>
      </c>
      <c r="O15" s="64" t="s">
        <v>82</v>
      </c>
      <c r="P15" s="64" t="s">
        <v>21</v>
      </c>
      <c r="Q15" s="4"/>
    </row>
    <row r="16" spans="1:24" s="32" customFormat="1" x14ac:dyDescent="0.25">
      <c r="B16" s="59" t="s">
        <v>6</v>
      </c>
      <c r="C16" s="18" t="str">
        <f>IF(G16&gt;0.9,"Very high",IF(G16&gt;0.75,"High",IF(G16&gt;0.5,"Medium",IF(G16&gt;0.2,"Low","Very low"))))</f>
        <v>Very high</v>
      </c>
      <c r="D16" s="18"/>
      <c r="E16" s="18"/>
      <c r="F16" s="18" t="s">
        <v>77</v>
      </c>
      <c r="G16" s="36">
        <v>1</v>
      </c>
      <c r="H16" s="36">
        <v>0</v>
      </c>
      <c r="I16" s="36">
        <v>0</v>
      </c>
      <c r="J16" s="36">
        <v>0</v>
      </c>
      <c r="K16" s="36">
        <v>0</v>
      </c>
      <c r="L16" s="36">
        <v>0</v>
      </c>
      <c r="M16" s="36">
        <v>0</v>
      </c>
      <c r="N16" s="36"/>
      <c r="O16" s="31"/>
      <c r="P16" s="31"/>
    </row>
    <row r="17" spans="2:18" s="32" customFormat="1" ht="45" x14ac:dyDescent="0.25">
      <c r="B17" s="59" t="s">
        <v>16</v>
      </c>
      <c r="C17" s="18" t="str">
        <f t="shared" ref="C17:C29" si="0">IF(G17&gt;0.9,"Very high",IF(G17&gt;0.75,"High",IF(G17&gt;0.5,"Medium",IF(G17&gt;0.2,"Low","Very low"))))</f>
        <v>High</v>
      </c>
      <c r="D17" s="166">
        <f>N17</f>
        <v>11.423454090150253</v>
      </c>
      <c r="E17" s="18"/>
      <c r="F17" s="18" t="s">
        <v>65</v>
      </c>
      <c r="G17" s="35">
        <v>0.85</v>
      </c>
      <c r="H17" s="35">
        <f t="shared" ref="H17:H22" si="1">1-G17</f>
        <v>0.15000000000000002</v>
      </c>
      <c r="I17" s="35">
        <v>0.82941200000000004</v>
      </c>
      <c r="J17" s="35">
        <f>2.3319%/H17</f>
        <v>0.15545999999999999</v>
      </c>
      <c r="K17" s="35">
        <v>0.14799999999999999</v>
      </c>
      <c r="L17" s="42">
        <f t="shared" ref="L17:L20" si="2">0.55*I17</f>
        <v>0.45617660000000004</v>
      </c>
      <c r="M17" s="42">
        <f>0.599%/H17</f>
        <v>3.9933333333333328E-2</v>
      </c>
      <c r="N17" s="43">
        <f t="shared" ref="N17:N22" si="3">L17/M17</f>
        <v>11.423454090150253</v>
      </c>
      <c r="O17" s="27" t="s">
        <v>97</v>
      </c>
      <c r="P17" s="33" t="s">
        <v>98</v>
      </c>
    </row>
    <row r="18" spans="2:18" s="32" customFormat="1" ht="60" x14ac:dyDescent="0.25">
      <c r="B18" s="59" t="s">
        <v>17</v>
      </c>
      <c r="C18" s="18" t="str">
        <f t="shared" si="0"/>
        <v>High</v>
      </c>
      <c r="D18" s="166">
        <f t="shared" ref="D18:D29" si="4">N18</f>
        <v>6.2786953727506418</v>
      </c>
      <c r="E18" s="18"/>
      <c r="F18" s="18" t="s">
        <v>65</v>
      </c>
      <c r="G18" s="35">
        <v>0.9</v>
      </c>
      <c r="H18" s="35">
        <f t="shared" si="1"/>
        <v>9.9999999999999978E-2</v>
      </c>
      <c r="I18" s="35">
        <v>0.88815</v>
      </c>
      <c r="J18" s="35">
        <f>1.118%/H18</f>
        <v>0.11180000000000004</v>
      </c>
      <c r="K18" s="35">
        <v>0.33979999999999999</v>
      </c>
      <c r="L18" s="42">
        <f t="shared" si="2"/>
        <v>0.48848250000000004</v>
      </c>
      <c r="M18" s="42">
        <f>0.778%/H18</f>
        <v>7.7800000000000022E-2</v>
      </c>
      <c r="N18" s="43">
        <f t="shared" si="3"/>
        <v>6.2786953727506418</v>
      </c>
      <c r="O18" s="27" t="s">
        <v>99</v>
      </c>
      <c r="P18" s="33" t="s">
        <v>98</v>
      </c>
    </row>
    <row r="19" spans="2:18" s="32" customFormat="1" ht="45" x14ac:dyDescent="0.25">
      <c r="B19" s="59" t="s">
        <v>18</v>
      </c>
      <c r="C19" s="18" t="str">
        <f t="shared" si="0"/>
        <v>Medium</v>
      </c>
      <c r="D19" s="166">
        <f t="shared" si="4"/>
        <v>7.1167424191374673</v>
      </c>
      <c r="E19" s="18"/>
      <c r="F19" s="18" t="s">
        <v>65</v>
      </c>
      <c r="G19" s="35">
        <v>0.745</v>
      </c>
      <c r="H19" s="35">
        <f t="shared" si="1"/>
        <v>0.255</v>
      </c>
      <c r="I19" s="35">
        <v>0.75302999999999998</v>
      </c>
      <c r="J19" s="35">
        <f>6.288%/H19</f>
        <v>0.24658823529411766</v>
      </c>
      <c r="K19" s="35">
        <v>0.27600000000000002</v>
      </c>
      <c r="L19" s="42">
        <f t="shared" si="2"/>
        <v>0.41416650000000005</v>
      </c>
      <c r="M19" s="42">
        <f>1.484%/H19</f>
        <v>5.8196078431372547E-2</v>
      </c>
      <c r="N19" s="43">
        <f t="shared" si="3"/>
        <v>7.1167424191374673</v>
      </c>
      <c r="O19" s="27" t="s">
        <v>100</v>
      </c>
      <c r="P19" s="33" t="s">
        <v>98</v>
      </c>
    </row>
    <row r="20" spans="2:18" s="32" customFormat="1" ht="60" x14ac:dyDescent="0.25">
      <c r="B20" s="60" t="s">
        <v>149</v>
      </c>
      <c r="C20" s="18" t="str">
        <f t="shared" si="0"/>
        <v>High</v>
      </c>
      <c r="D20" s="166">
        <f t="shared" si="4"/>
        <v>24.389199999999995</v>
      </c>
      <c r="E20" s="18"/>
      <c r="F20" s="18" t="s">
        <v>65</v>
      </c>
      <c r="G20" s="35">
        <v>0.77</v>
      </c>
      <c r="H20" s="35">
        <f t="shared" si="1"/>
        <v>0.22999999999999998</v>
      </c>
      <c r="I20" s="35">
        <v>0.96399999999999997</v>
      </c>
      <c r="J20" s="35">
        <f>0.828%/H20</f>
        <v>3.5999999999999997E-2</v>
      </c>
      <c r="K20" s="35">
        <v>0.36099999999999999</v>
      </c>
      <c r="L20" s="42">
        <f t="shared" si="2"/>
        <v>0.5302</v>
      </c>
      <c r="M20" s="42">
        <f>0.5%/H20</f>
        <v>2.1739130434782612E-2</v>
      </c>
      <c r="N20" s="43">
        <f t="shared" si="3"/>
        <v>24.389199999999995</v>
      </c>
      <c r="O20" s="27" t="s">
        <v>154</v>
      </c>
      <c r="P20" s="33" t="s">
        <v>98</v>
      </c>
    </row>
    <row r="21" spans="2:18" s="32" customFormat="1" ht="75" x14ac:dyDescent="0.25">
      <c r="B21" s="59" t="s">
        <v>94</v>
      </c>
      <c r="C21" s="18" t="str">
        <f t="shared" ref="C21" si="5">IF(G21&gt;0.9,"Very high",IF(G21&gt;0.75,"High",IF(G21&gt;0.5,"Medium",IF(G21&gt;0.2,"Low","Very low"))))</f>
        <v>Very high</v>
      </c>
      <c r="D21" s="166">
        <f t="shared" si="4"/>
        <v>8</v>
      </c>
      <c r="E21" s="18"/>
      <c r="F21" s="18" t="s">
        <v>93</v>
      </c>
      <c r="G21" s="35">
        <v>0.95</v>
      </c>
      <c r="H21" s="35">
        <f t="shared" si="1"/>
        <v>5.0000000000000044E-2</v>
      </c>
      <c r="I21" s="35">
        <f>3.4%/H21</f>
        <v>0.67999999999999949</v>
      </c>
      <c r="J21" s="35">
        <f>1.6%/H21</f>
        <v>0.31999999999999973</v>
      </c>
      <c r="K21" s="35">
        <f>0.38/I21</f>
        <v>0.55882352941176516</v>
      </c>
      <c r="L21" s="42">
        <f>N21*M21</f>
        <v>0.45999999999999996</v>
      </c>
      <c r="M21" s="42">
        <f>AVERAGE(0.055,0.06)</f>
        <v>5.7499999999999996E-2</v>
      </c>
      <c r="N21" s="43">
        <f>AVERAGE(6,10)</f>
        <v>8</v>
      </c>
      <c r="O21" s="37" t="s">
        <v>106</v>
      </c>
      <c r="P21" s="33" t="s">
        <v>90</v>
      </c>
    </row>
    <row r="22" spans="2:18" s="32" customFormat="1" ht="45" x14ac:dyDescent="0.25">
      <c r="B22" s="61" t="s">
        <v>19</v>
      </c>
      <c r="C22" s="18" t="str">
        <f t="shared" si="0"/>
        <v>Very high</v>
      </c>
      <c r="D22" s="166">
        <f t="shared" si="4"/>
        <v>0.82352941176470607</v>
      </c>
      <c r="E22" s="18"/>
      <c r="F22" s="18" t="s">
        <v>78</v>
      </c>
      <c r="G22" s="35">
        <f>AVERAGE(0.93,0.96)</f>
        <v>0.94500000000000006</v>
      </c>
      <c r="H22" s="35">
        <f t="shared" si="1"/>
        <v>5.4999999999999938E-2</v>
      </c>
      <c r="I22" s="35">
        <v>0</v>
      </c>
      <c r="J22" s="35">
        <v>0</v>
      </c>
      <c r="K22" s="35">
        <v>0</v>
      </c>
      <c r="L22" s="42">
        <f>AVERAGE(0.11,0.17)</f>
        <v>0.14000000000000001</v>
      </c>
      <c r="M22" s="42">
        <f>AVERAGE(0.15,0.19)</f>
        <v>0.16999999999999998</v>
      </c>
      <c r="N22" s="43">
        <f t="shared" si="3"/>
        <v>0.82352941176470607</v>
      </c>
      <c r="O22" s="37" t="s">
        <v>105</v>
      </c>
      <c r="P22" s="33" t="s">
        <v>84</v>
      </c>
    </row>
    <row r="23" spans="2:18" s="32" customFormat="1" x14ac:dyDescent="0.25">
      <c r="B23" s="59" t="s">
        <v>20</v>
      </c>
      <c r="C23" s="18" t="str">
        <f t="shared" si="0"/>
        <v>Very high</v>
      </c>
      <c r="D23" s="166">
        <f t="shared" si="4"/>
        <v>0</v>
      </c>
      <c r="E23" s="18"/>
      <c r="F23" s="18" t="s">
        <v>77</v>
      </c>
      <c r="G23" s="35">
        <v>1</v>
      </c>
      <c r="H23" s="35">
        <v>0</v>
      </c>
      <c r="I23" s="35">
        <v>0</v>
      </c>
      <c r="J23" s="35">
        <v>0</v>
      </c>
      <c r="K23" s="35">
        <v>0</v>
      </c>
      <c r="L23" s="44">
        <v>0</v>
      </c>
      <c r="M23" s="44">
        <v>0</v>
      </c>
      <c r="N23" s="36"/>
      <c r="O23" s="39" t="s">
        <v>85</v>
      </c>
      <c r="P23" s="39"/>
    </row>
    <row r="24" spans="2:18" s="32" customFormat="1" ht="45" x14ac:dyDescent="0.25">
      <c r="B24" s="59" t="s">
        <v>86</v>
      </c>
      <c r="C24" s="18" t="str">
        <f t="shared" si="0"/>
        <v>Very low</v>
      </c>
      <c r="D24" s="166">
        <f t="shared" si="4"/>
        <v>49.726830530401045</v>
      </c>
      <c r="E24" s="18"/>
      <c r="F24" s="18" t="s">
        <v>81</v>
      </c>
      <c r="G24" s="36">
        <v>0.122</v>
      </c>
      <c r="H24" s="35">
        <f t="shared" ref="H24:H29" si="6">1-G24</f>
        <v>0.878</v>
      </c>
      <c r="I24" s="36">
        <v>0.79600000000000004</v>
      </c>
      <c r="J24" s="35">
        <f>17.911%/H24</f>
        <v>0.20399772209567199</v>
      </c>
      <c r="K24" s="35">
        <v>0.48299999999999998</v>
      </c>
      <c r="L24" s="42">
        <f>0.55*I24</f>
        <v>0.43780000000000008</v>
      </c>
      <c r="M24" s="42">
        <f>0.773%/H24</f>
        <v>8.8041002277904328E-3</v>
      </c>
      <c r="N24" s="43">
        <f t="shared" ref="N24:N29" si="7">L24/M24</f>
        <v>49.726830530401045</v>
      </c>
      <c r="O24" s="27" t="s">
        <v>101</v>
      </c>
      <c r="P24" s="33" t="s">
        <v>98</v>
      </c>
    </row>
    <row r="25" spans="2:18" s="32" customFormat="1" ht="60" x14ac:dyDescent="0.25">
      <c r="B25" s="59" t="s">
        <v>87</v>
      </c>
      <c r="C25" s="18" t="str">
        <f t="shared" si="0"/>
        <v>Low</v>
      </c>
      <c r="D25" s="166">
        <f t="shared" si="4"/>
        <v>57.116810270270271</v>
      </c>
      <c r="E25" s="18"/>
      <c r="F25" s="18" t="s">
        <v>67</v>
      </c>
      <c r="G25" s="35">
        <v>0.22359999999999999</v>
      </c>
      <c r="H25" s="35">
        <f t="shared" si="6"/>
        <v>0.77639999999999998</v>
      </c>
      <c r="I25" s="35">
        <v>0.98980000000000001</v>
      </c>
      <c r="J25" s="35">
        <f>0.81%/H25</f>
        <v>1.0432766615146834E-2</v>
      </c>
      <c r="K25" s="35">
        <v>8.5000000000000006E-2</v>
      </c>
      <c r="L25" s="42">
        <f>0.55*I25</f>
        <v>0.54439000000000004</v>
      </c>
      <c r="M25" s="42">
        <f>0.74%/H25</f>
        <v>9.5311695002576E-3</v>
      </c>
      <c r="N25" s="43">
        <f t="shared" si="7"/>
        <v>57.116810270270271</v>
      </c>
      <c r="O25" s="37" t="s">
        <v>102</v>
      </c>
      <c r="P25" s="33" t="s">
        <v>98</v>
      </c>
    </row>
    <row r="26" spans="2:18" s="32" customFormat="1" ht="45" x14ac:dyDescent="0.25">
      <c r="B26" s="59" t="s">
        <v>22</v>
      </c>
      <c r="C26" s="18" t="str">
        <f t="shared" si="0"/>
        <v>Very low</v>
      </c>
      <c r="D26" s="166">
        <f t="shared" si="4"/>
        <v>142.14285714285714</v>
      </c>
      <c r="E26" s="18"/>
      <c r="F26" s="18" t="s">
        <v>66</v>
      </c>
      <c r="G26" s="18">
        <v>0.1</v>
      </c>
      <c r="H26" s="35">
        <f t="shared" si="6"/>
        <v>0.9</v>
      </c>
      <c r="I26" s="18">
        <v>0.96399999999999997</v>
      </c>
      <c r="J26" s="45">
        <f>3.02%/H26</f>
        <v>3.3555555555555554E-2</v>
      </c>
      <c r="K26" s="18">
        <v>1.1599999999999999E-2</v>
      </c>
      <c r="L26" s="46">
        <v>0.4975</v>
      </c>
      <c r="M26" s="46">
        <v>3.5000000000000001E-3</v>
      </c>
      <c r="N26" s="43">
        <f t="shared" si="7"/>
        <v>142.14285714285714</v>
      </c>
      <c r="O26" s="27" t="s">
        <v>103</v>
      </c>
      <c r="P26" s="34" t="s">
        <v>104</v>
      </c>
      <c r="R26" s="38"/>
    </row>
    <row r="27" spans="2:18" s="32" customFormat="1" ht="60" x14ac:dyDescent="0.25">
      <c r="B27" s="59" t="s">
        <v>23</v>
      </c>
      <c r="C27" s="18" t="str">
        <f t="shared" si="0"/>
        <v>Very low</v>
      </c>
      <c r="D27" s="166">
        <f t="shared" si="4"/>
        <v>245.47050000000002</v>
      </c>
      <c r="E27" s="18"/>
      <c r="F27" s="18" t="s">
        <v>81</v>
      </c>
      <c r="G27" s="18">
        <v>0.1</v>
      </c>
      <c r="H27" s="18">
        <f t="shared" si="6"/>
        <v>0.9</v>
      </c>
      <c r="I27" s="45">
        <v>0.99180000000000001</v>
      </c>
      <c r="J27" s="45">
        <f>0.74/H27</f>
        <v>0.82222222222222219</v>
      </c>
      <c r="K27" s="18">
        <v>0.20799999999999999</v>
      </c>
      <c r="L27" s="42">
        <f>0.55*I27</f>
        <v>0.54549000000000003</v>
      </c>
      <c r="M27" s="47">
        <f>0.2%/H27</f>
        <v>2.2222222222222222E-3</v>
      </c>
      <c r="N27" s="43">
        <f t="shared" si="7"/>
        <v>245.47050000000002</v>
      </c>
      <c r="O27" s="37" t="s">
        <v>102</v>
      </c>
      <c r="P27" s="33" t="s">
        <v>98</v>
      </c>
    </row>
    <row r="28" spans="2:18" s="32" customFormat="1" ht="60" x14ac:dyDescent="0.25">
      <c r="B28" s="59" t="s">
        <v>88</v>
      </c>
      <c r="C28" s="18" t="str">
        <f t="shared" si="0"/>
        <v>Low</v>
      </c>
      <c r="D28" s="166">
        <f t="shared" si="4"/>
        <v>34.065533333333327</v>
      </c>
      <c r="E28" s="18"/>
      <c r="F28" s="18" t="s">
        <v>81</v>
      </c>
      <c r="G28" s="18">
        <v>0.38200000000000001</v>
      </c>
      <c r="H28" s="18">
        <f t="shared" si="6"/>
        <v>0.61799999999999999</v>
      </c>
      <c r="I28" s="45">
        <v>0.90200000000000002</v>
      </c>
      <c r="J28" s="45">
        <f>6.06%/H28</f>
        <v>9.8058252427184453E-2</v>
      </c>
      <c r="K28" s="48">
        <f>30.6/1000</f>
        <v>3.0600000000000002E-2</v>
      </c>
      <c r="L28" s="42">
        <f>0.55*I28</f>
        <v>0.49610000000000004</v>
      </c>
      <c r="M28" s="47">
        <f>0.9%/H28</f>
        <v>1.4563106796116507E-2</v>
      </c>
      <c r="N28" s="43">
        <f t="shared" si="7"/>
        <v>34.065533333333327</v>
      </c>
      <c r="O28" s="37" t="s">
        <v>102</v>
      </c>
      <c r="P28" s="33" t="s">
        <v>98</v>
      </c>
    </row>
    <row r="29" spans="2:18" s="32" customFormat="1" ht="60" x14ac:dyDescent="0.25">
      <c r="B29" s="59" t="s">
        <v>89</v>
      </c>
      <c r="C29" s="18" t="str">
        <f t="shared" si="0"/>
        <v>High</v>
      </c>
      <c r="D29" s="166">
        <f t="shared" si="4"/>
        <v>10.626000000000003</v>
      </c>
      <c r="E29" s="18"/>
      <c r="F29" s="18" t="s">
        <v>81</v>
      </c>
      <c r="G29" s="18">
        <v>0.82</v>
      </c>
      <c r="H29" s="18">
        <f t="shared" si="6"/>
        <v>0.18000000000000005</v>
      </c>
      <c r="I29" s="18">
        <v>0.96599999999999997</v>
      </c>
      <c r="J29" s="45">
        <f>2.859%/H29</f>
        <v>0.1588333333333333</v>
      </c>
      <c r="K29" s="18">
        <v>0.13600000000000001</v>
      </c>
      <c r="L29" s="42">
        <f>0.55*I29</f>
        <v>0.53129999999999999</v>
      </c>
      <c r="M29" s="47">
        <f>0.9%/H29</f>
        <v>4.9999999999999989E-2</v>
      </c>
      <c r="N29" s="43">
        <f t="shared" si="7"/>
        <v>10.626000000000003</v>
      </c>
      <c r="O29" s="37" t="s">
        <v>102</v>
      </c>
      <c r="P29" s="33" t="s">
        <v>98</v>
      </c>
    </row>
    <row r="30" spans="2:18" s="32" customFormat="1" x14ac:dyDescent="0.25">
      <c r="B30" s="59" t="s">
        <v>107</v>
      </c>
      <c r="C30" s="18"/>
      <c r="D30" s="18"/>
      <c r="E30" s="18"/>
      <c r="F30" s="18"/>
      <c r="G30" s="18"/>
      <c r="H30" s="18"/>
      <c r="I30" s="18"/>
      <c r="J30" s="45"/>
      <c r="K30" s="18"/>
      <c r="L30" s="42"/>
      <c r="M30" s="47"/>
      <c r="N30" s="43"/>
      <c r="O30" s="37"/>
      <c r="P30" s="33"/>
    </row>
    <row r="31" spans="2:18" s="32" customFormat="1" x14ac:dyDescent="0.25">
      <c r="B31" s="59" t="s">
        <v>107</v>
      </c>
      <c r="C31" s="18"/>
      <c r="D31" s="18"/>
      <c r="E31" s="18"/>
      <c r="F31" s="18"/>
      <c r="G31" s="18"/>
      <c r="H31" s="18"/>
      <c r="I31" s="18"/>
      <c r="J31" s="45"/>
      <c r="K31" s="18"/>
      <c r="L31" s="42"/>
      <c r="M31" s="47"/>
      <c r="N31" s="43"/>
      <c r="O31" s="37"/>
      <c r="P31" s="33"/>
    </row>
    <row r="32" spans="2:18" s="32" customFormat="1" x14ac:dyDescent="0.25">
      <c r="B32" s="59" t="s">
        <v>107</v>
      </c>
      <c r="C32" s="18"/>
      <c r="D32" s="18"/>
      <c r="E32" s="18"/>
      <c r="F32" s="18"/>
      <c r="G32" s="18"/>
      <c r="H32" s="18"/>
      <c r="I32" s="18"/>
      <c r="J32" s="45"/>
      <c r="K32" s="18"/>
      <c r="L32" s="42"/>
      <c r="M32" s="47"/>
      <c r="N32" s="43"/>
      <c r="O32" s="37"/>
      <c r="P32" s="33"/>
    </row>
    <row r="33" spans="2:16" s="32" customFormat="1" x14ac:dyDescent="0.25">
      <c r="B33" s="59" t="s">
        <v>107</v>
      </c>
      <c r="C33" s="18"/>
      <c r="D33" s="18"/>
      <c r="E33" s="18"/>
      <c r="F33" s="18"/>
      <c r="G33" s="18"/>
      <c r="H33" s="18"/>
      <c r="I33" s="18"/>
      <c r="J33" s="45"/>
      <c r="K33" s="18"/>
      <c r="L33" s="42"/>
      <c r="M33" s="47"/>
      <c r="N33" s="43"/>
      <c r="O33" s="37"/>
      <c r="P33" s="33"/>
    </row>
    <row r="34" spans="2:16" s="32" customFormat="1" x14ac:dyDescent="0.25">
      <c r="B34" s="59" t="s">
        <v>107</v>
      </c>
      <c r="C34" s="18"/>
      <c r="D34" s="18"/>
      <c r="E34" s="18"/>
      <c r="F34" s="18"/>
      <c r="G34" s="18"/>
      <c r="H34" s="18"/>
      <c r="I34" s="18"/>
      <c r="J34" s="45"/>
      <c r="K34" s="18"/>
      <c r="L34" s="42"/>
      <c r="M34" s="47"/>
      <c r="N34" s="43"/>
      <c r="O34" s="37"/>
      <c r="P34" s="33"/>
    </row>
    <row r="35" spans="2:16" s="32" customFormat="1" x14ac:dyDescent="0.25">
      <c r="B35" s="59" t="s">
        <v>107</v>
      </c>
      <c r="C35" s="18"/>
      <c r="D35" s="18"/>
      <c r="E35" s="18"/>
      <c r="F35" s="18"/>
      <c r="G35" s="18"/>
      <c r="H35" s="18"/>
      <c r="I35" s="18"/>
      <c r="J35" s="45"/>
      <c r="K35" s="18"/>
      <c r="L35" s="42"/>
      <c r="M35" s="47"/>
      <c r="N35" s="43"/>
      <c r="O35" s="37"/>
      <c r="P35" s="33"/>
    </row>
    <row r="36" spans="2:16" s="32" customFormat="1" x14ac:dyDescent="0.25">
      <c r="B36" s="62"/>
      <c r="C36" s="54"/>
      <c r="D36" s="54"/>
      <c r="E36" s="54"/>
      <c r="F36" s="54"/>
      <c r="G36" s="54"/>
      <c r="H36" s="54"/>
      <c r="I36" s="54"/>
      <c r="J36" s="55"/>
      <c r="K36" s="54"/>
      <c r="L36" s="56"/>
      <c r="M36" s="57"/>
      <c r="N36" s="58"/>
      <c r="O36" s="37"/>
      <c r="P36" s="33"/>
    </row>
    <row r="37" spans="2:16" s="32" customFormat="1" x14ac:dyDescent="0.25">
      <c r="B37" s="62"/>
      <c r="C37" s="54"/>
      <c r="D37" s="54"/>
      <c r="E37" s="54"/>
      <c r="F37" s="54"/>
      <c r="G37" s="54"/>
      <c r="H37" s="54"/>
      <c r="I37" s="54"/>
      <c r="J37" s="55"/>
      <c r="K37" s="54"/>
      <c r="L37" s="56"/>
      <c r="M37" s="57"/>
      <c r="N37" s="58"/>
      <c r="O37" s="37"/>
      <c r="P37" s="33"/>
    </row>
    <row r="38" spans="2:16" s="32" customFormat="1" x14ac:dyDescent="0.25"/>
    <row r="39" spans="2:16" hidden="1" x14ac:dyDescent="0.25"/>
    <row r="40" spans="2:16" hidden="1" x14ac:dyDescent="0.25"/>
    <row r="41" spans="2:16" hidden="1" x14ac:dyDescent="0.25"/>
    <row r="42" spans="2:16" hidden="1" x14ac:dyDescent="0.25"/>
    <row r="43" spans="2:16" hidden="1" x14ac:dyDescent="0.25"/>
    <row r="44" spans="2:16" hidden="1" x14ac:dyDescent="0.25"/>
    <row r="45" spans="2:16" hidden="1" x14ac:dyDescent="0.25"/>
    <row r="46" spans="2:16" hidden="1" x14ac:dyDescent="0.25"/>
    <row r="47" spans="2:16" hidden="1" x14ac:dyDescent="0.25"/>
    <row r="48" spans="2: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x14ac:dyDescent="0.25"/>
    <row r="109" x14ac:dyDescent="0.25"/>
    <row r="110" x14ac:dyDescent="0.25"/>
    <row r="111" x14ac:dyDescent="0.25"/>
    <row r="112" x14ac:dyDescent="0.25"/>
    <row r="113" x14ac:dyDescent="0.25"/>
    <row r="114" x14ac:dyDescent="0.25"/>
    <row r="115" x14ac:dyDescent="0.25"/>
    <row r="116" x14ac:dyDescent="0.25"/>
  </sheetData>
  <hyperlinks>
    <hyperlink ref="H5" r:id="rId1" location=":~:text=The%20AD%20Screening%20Tool%20enables,Annual%20biogas%20and%20digestate%20production" display="Tool link here"/>
  </hyperlinks>
  <pageMargins left="0.7" right="0.7" top="0.75" bottom="0.75" header="0.3" footer="0.3"/>
  <pageSetup paperSize="8" scale="5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24"/>
  <sheetViews>
    <sheetView zoomScale="115" zoomScaleNormal="115" workbookViewId="0">
      <selection activeCell="B8" sqref="B8"/>
    </sheetView>
  </sheetViews>
  <sheetFormatPr defaultColWidth="0" defaultRowHeight="15" zeroHeight="1" x14ac:dyDescent="0.25"/>
  <cols>
    <col min="1" max="1" width="8.7109375" style="6" customWidth="1"/>
    <col min="2" max="2" width="97.5703125" style="6" customWidth="1"/>
    <col min="3" max="3" width="18.140625" style="6" bestFit="1" customWidth="1"/>
    <col min="4" max="4" width="8.7109375" style="6" customWidth="1"/>
    <col min="5" max="10" width="0" style="6" hidden="1" customWidth="1"/>
    <col min="11" max="16384" width="8.7109375" style="6" hidden="1"/>
  </cols>
  <sheetData>
    <row r="1" spans="1:10" s="80" customFormat="1" ht="21" x14ac:dyDescent="0.35">
      <c r="A1" s="138" t="s">
        <v>173</v>
      </c>
    </row>
    <row r="2" spans="1:10" s="193" customFormat="1" ht="30" x14ac:dyDescent="0.25">
      <c r="A2" s="68"/>
      <c r="B2" s="29" t="s">
        <v>180</v>
      </c>
      <c r="C2" s="6"/>
      <c r="D2" s="6"/>
    </row>
    <row r="3" spans="1:10" s="80" customFormat="1" ht="21" x14ac:dyDescent="0.35">
      <c r="A3" s="138" t="s">
        <v>172</v>
      </c>
    </row>
    <row r="4" spans="1:10" s="193" customFormat="1" ht="30" x14ac:dyDescent="0.25">
      <c r="A4" s="194"/>
      <c r="B4" s="29" t="s">
        <v>179</v>
      </c>
      <c r="C4" s="104"/>
      <c r="D4" s="104"/>
    </row>
    <row r="5" spans="1:10" s="80" customFormat="1" ht="21" x14ac:dyDescent="0.35">
      <c r="A5" s="138" t="s">
        <v>174</v>
      </c>
    </row>
    <row r="6" spans="1:10" ht="30" x14ac:dyDescent="0.25">
      <c r="A6" s="68" t="s">
        <v>68</v>
      </c>
      <c r="B6" s="29" t="s">
        <v>159</v>
      </c>
    </row>
    <row r="7" spans="1:10" ht="30" x14ac:dyDescent="0.25">
      <c r="A7" s="68" t="s">
        <v>70</v>
      </c>
      <c r="B7" s="29" t="s">
        <v>160</v>
      </c>
    </row>
    <row r="8" spans="1:10" ht="30" x14ac:dyDescent="0.25">
      <c r="A8" s="68" t="s">
        <v>71</v>
      </c>
      <c r="B8" s="29" t="s">
        <v>161</v>
      </c>
    </row>
    <row r="9" spans="1:10" ht="30" x14ac:dyDescent="0.25">
      <c r="A9" s="68" t="s">
        <v>72</v>
      </c>
      <c r="B9" s="29" t="s">
        <v>162</v>
      </c>
    </row>
    <row r="10" spans="1:10" ht="30" x14ac:dyDescent="0.25">
      <c r="A10" s="68" t="s">
        <v>69</v>
      </c>
      <c r="B10" s="29" t="s">
        <v>73</v>
      </c>
    </row>
    <row r="11" spans="1:10" x14ac:dyDescent="0.25">
      <c r="A11" s="68" t="s">
        <v>74</v>
      </c>
      <c r="B11" s="30" t="s">
        <v>157</v>
      </c>
    </row>
    <row r="12" spans="1:10" x14ac:dyDescent="0.25">
      <c r="A12" s="68" t="s">
        <v>76</v>
      </c>
      <c r="B12" s="6" t="s">
        <v>163</v>
      </c>
      <c r="D12" s="29"/>
      <c r="E12" s="29"/>
      <c r="F12" s="29"/>
      <c r="G12" s="29"/>
      <c r="H12" s="29"/>
      <c r="I12" s="29"/>
      <c r="J12" s="29"/>
    </row>
    <row r="13" spans="1:10" ht="45" x14ac:dyDescent="0.25">
      <c r="A13" s="68" t="s">
        <v>79</v>
      </c>
      <c r="B13" s="40" t="s">
        <v>122</v>
      </c>
      <c r="D13" s="29"/>
      <c r="E13" s="29"/>
      <c r="F13" s="29"/>
      <c r="G13" s="29"/>
      <c r="H13" s="29"/>
      <c r="I13" s="29"/>
      <c r="J13" s="29"/>
    </row>
    <row r="14" spans="1:10" ht="30" x14ac:dyDescent="0.25">
      <c r="A14" s="68" t="s">
        <v>80</v>
      </c>
      <c r="B14" s="40" t="s">
        <v>91</v>
      </c>
      <c r="D14" s="29"/>
      <c r="E14" s="29"/>
      <c r="F14" s="29"/>
      <c r="G14" s="29"/>
      <c r="H14" s="29"/>
      <c r="I14" s="29"/>
      <c r="J14" s="29"/>
    </row>
    <row r="15" spans="1:10" ht="30" x14ac:dyDescent="0.25">
      <c r="A15" s="68" t="s">
        <v>83</v>
      </c>
      <c r="B15" s="40" t="s">
        <v>92</v>
      </c>
      <c r="D15" s="29"/>
      <c r="E15" s="29"/>
      <c r="F15" s="29"/>
      <c r="G15" s="29"/>
      <c r="H15" s="29"/>
      <c r="I15" s="29"/>
      <c r="J15" s="29"/>
    </row>
    <row r="16" spans="1:10" ht="30" x14ac:dyDescent="0.25">
      <c r="A16" s="68" t="s">
        <v>84</v>
      </c>
      <c r="B16" s="40" t="s">
        <v>158</v>
      </c>
      <c r="D16" s="29"/>
      <c r="E16" s="29"/>
      <c r="F16" s="29"/>
      <c r="G16" s="29"/>
      <c r="H16" s="29"/>
      <c r="I16" s="29"/>
      <c r="J16" s="29"/>
    </row>
    <row r="17" spans="1:2" ht="30" x14ac:dyDescent="0.25">
      <c r="A17" s="68" t="s">
        <v>90</v>
      </c>
      <c r="B17" s="40" t="s">
        <v>121</v>
      </c>
    </row>
    <row r="18" spans="1:2" x14ac:dyDescent="0.25"/>
    <row r="19" spans="1:2" x14ac:dyDescent="0.25"/>
    <row r="20" spans="1:2" x14ac:dyDescent="0.25"/>
    <row r="21" spans="1:2" x14ac:dyDescent="0.25"/>
    <row r="22" spans="1:2" x14ac:dyDescent="0.25"/>
    <row r="23" spans="1:2" x14ac:dyDescent="0.25"/>
    <row r="24" spans="1:2" x14ac:dyDescent="0.25"/>
  </sheetData>
  <sheetProtection algorithmName="SHA-512" hashValue="vzMoVTy6OXCYnV1fY1j6qMl2MdiQ5hAiZc8z9nJoSitdZzwJf3u1egYfJNDP+2+dVJe+oFxphsg13ScNuwDIxw==" saltValue="smXUgL7bcaCLyaW0uW6grA==" spinCount="100000" sheet="1" objects="1" scenarios="1"/>
  <hyperlinks>
    <hyperlink ref="B11" r:id="rId1" display="https://energypedia.info/wiki/Biogas_Stoves"/>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0 Intro</vt:lpstr>
      <vt:lpstr>1 Biogas evaluation</vt:lpstr>
      <vt:lpstr>2 Feedstock database</vt:lpstr>
      <vt:lpstr>3 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2024-05-22T09:49:23Z</dcterms:modified>
</cp:coreProperties>
</file>